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76" yWindow="108" windowWidth="14808" windowHeight="8016" tabRatio="878"/>
  </bookViews>
  <sheets>
    <sheet name="Content" sheetId="1" r:id="rId1"/>
    <sheet name="Profit or Loss (Q)" sheetId="9" r:id="rId2"/>
    <sheet name="Financial Position" sheetId="3" r:id="rId3"/>
    <sheet name="Cash Flows" sheetId="4" r:id="rId4"/>
    <sheet name="SG&amp;A(Q)" sheetId="10" r:id="rId5"/>
    <sheet name="EBITDA" sheetId="6" r:id="rId6"/>
    <sheet name="DEBT" sheetId="7" r:id="rId7"/>
    <sheet name="Operating Results" sheetId="8" r:id="rId8"/>
  </sheets>
  <externalReferences>
    <externalReference r:id="rId9"/>
  </externalReferences>
  <calcPr calcId="152511" iterate="1"/>
</workbook>
</file>

<file path=xl/calcChain.xml><?xml version="1.0" encoding="utf-8"?>
<calcChain xmlns="http://schemas.openxmlformats.org/spreadsheetml/2006/main">
  <c r="K10" i="8" l="1"/>
  <c r="K12" i="8" l="1"/>
  <c r="K11" i="8"/>
  <c r="K9" i="8"/>
  <c r="K16" i="8"/>
  <c r="K15" i="8"/>
  <c r="K14" i="8"/>
  <c r="AR32" i="8" l="1"/>
  <c r="AR31" i="8"/>
  <c r="AR30" i="8"/>
  <c r="AR29" i="8"/>
  <c r="AR28" i="8"/>
  <c r="AR27" i="8"/>
  <c r="AR26" i="8"/>
  <c r="AQ26" i="8"/>
  <c r="AQ32" i="8"/>
  <c r="AQ30" i="8"/>
  <c r="AQ29" i="8"/>
  <c r="AQ28" i="8"/>
  <c r="AQ27" i="8"/>
  <c r="AP26" i="8" l="1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J26" i="8"/>
  <c r="I26" i="8"/>
  <c r="H26" i="8"/>
  <c r="G26" i="8"/>
  <c r="F26" i="8"/>
  <c r="E26" i="8"/>
  <c r="D26" i="8"/>
  <c r="K26" i="8"/>
  <c r="J18" i="8" l="1"/>
  <c r="I18" i="8"/>
  <c r="H18" i="8"/>
  <c r="G18" i="8"/>
  <c r="F18" i="8"/>
  <c r="E18" i="8"/>
  <c r="D18" i="8"/>
  <c r="K18" i="8"/>
  <c r="AR18" i="8"/>
  <c r="AQ18" i="8"/>
  <c r="AQ9" i="8" l="1"/>
  <c r="AR9" i="8"/>
  <c r="N14" i="7" l="1"/>
  <c r="N12" i="7"/>
  <c r="N10" i="7"/>
  <c r="N16" i="6"/>
  <c r="K17" i="7"/>
  <c r="K14" i="7"/>
  <c r="K9" i="7"/>
  <c r="K12" i="7"/>
  <c r="K10" i="7"/>
  <c r="BD9" i="10" l="1"/>
  <c r="AU9" i="10"/>
  <c r="BD9" i="9" l="1"/>
  <c r="AU9" i="9"/>
  <c r="J7" i="9" l="1"/>
  <c r="BD17" i="7" l="1"/>
  <c r="BD14" i="7"/>
  <c r="BD12" i="7"/>
  <c r="BD10" i="7"/>
  <c r="BD11" i="7" s="1"/>
  <c r="BD9" i="7"/>
  <c r="BD15" i="7" s="1"/>
  <c r="BC17" i="7"/>
  <c r="BC14" i="7"/>
  <c r="BC12" i="7"/>
  <c r="BC10" i="7"/>
  <c r="BC11" i="7" s="1"/>
  <c r="BC9" i="7"/>
  <c r="BC15" i="7" s="1"/>
  <c r="AU17" i="7"/>
  <c r="AU14" i="7"/>
  <c r="AU12" i="7"/>
  <c r="AU10" i="7"/>
  <c r="AU9" i="7" s="1"/>
  <c r="AT17" i="7"/>
  <c r="AT14" i="7"/>
  <c r="AT12" i="7"/>
  <c r="AT10" i="7"/>
  <c r="N17" i="7"/>
  <c r="M17" i="7"/>
  <c r="N9" i="7"/>
  <c r="N13" i="7" s="1"/>
  <c r="N11" i="7"/>
  <c r="BD19" i="6"/>
  <c r="BC19" i="6"/>
  <c r="BD16" i="6"/>
  <c r="BC16" i="6"/>
  <c r="BD15" i="6"/>
  <c r="BC15" i="6"/>
  <c r="BD14" i="6"/>
  <c r="BC14" i="6"/>
  <c r="BD12" i="6"/>
  <c r="BC12" i="6"/>
  <c r="BD11" i="6"/>
  <c r="BC11" i="6"/>
  <c r="BD9" i="6"/>
  <c r="BD17" i="6" s="1"/>
  <c r="BC9" i="6"/>
  <c r="BC17" i="6" s="1"/>
  <c r="BC20" i="6" s="1"/>
  <c r="AU19" i="6"/>
  <c r="AT19" i="6"/>
  <c r="AU16" i="6"/>
  <c r="AT16" i="6"/>
  <c r="AU15" i="6"/>
  <c r="AT15" i="6"/>
  <c r="AU14" i="6"/>
  <c r="AT14" i="6"/>
  <c r="AU12" i="6"/>
  <c r="AT12" i="6"/>
  <c r="AU11" i="6"/>
  <c r="AT11" i="6"/>
  <c r="AU9" i="6"/>
  <c r="AT9" i="6"/>
  <c r="K15" i="7"/>
  <c r="BD13" i="10"/>
  <c r="BD20" i="6" l="1"/>
  <c r="AT17" i="6"/>
  <c r="AT20" i="6" s="1"/>
  <c r="AU17" i="6"/>
  <c r="AU20" i="6" s="1"/>
  <c r="N15" i="7"/>
  <c r="K11" i="7"/>
  <c r="K13" i="7"/>
  <c r="BD13" i="7"/>
  <c r="BC13" i="7"/>
  <c r="AU11" i="7"/>
  <c r="AU15" i="7"/>
  <c r="AU13" i="7"/>
  <c r="AT9" i="7"/>
  <c r="BD16" i="10"/>
  <c r="BD15" i="10"/>
  <c r="BD12" i="10"/>
  <c r="BD11" i="10"/>
  <c r="BD10" i="10"/>
  <c r="AU16" i="10"/>
  <c r="AU15" i="10"/>
  <c r="AU13" i="10"/>
  <c r="AU12" i="10"/>
  <c r="AU11" i="10"/>
  <c r="AU10" i="10"/>
  <c r="N13" i="10"/>
  <c r="N12" i="10"/>
  <c r="N9" i="10"/>
  <c r="K12" i="10"/>
  <c r="K13" i="10" s="1"/>
  <c r="K9" i="10"/>
  <c r="G43" i="10"/>
  <c r="J13" i="10"/>
  <c r="BD61" i="4"/>
  <c r="BD59" i="4"/>
  <c r="BD57" i="4"/>
  <c r="BD55" i="4"/>
  <c r="BD54" i="4"/>
  <c r="BD53" i="4"/>
  <c r="BD52" i="4"/>
  <c r="BD51" i="4"/>
  <c r="BD50" i="4"/>
  <c r="BD49" i="4"/>
  <c r="BD48" i="4"/>
  <c r="BD47" i="4"/>
  <c r="BD44" i="4"/>
  <c r="BD43" i="4"/>
  <c r="BD42" i="4"/>
  <c r="BD41" i="4"/>
  <c r="BD40" i="4"/>
  <c r="BD39" i="4"/>
  <c r="BD38" i="4"/>
  <c r="BD34" i="4"/>
  <c r="BD33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8" i="4"/>
  <c r="BD17" i="4"/>
  <c r="BD16" i="4"/>
  <c r="BD15" i="4"/>
  <c r="BD14" i="4"/>
  <c r="BD13" i="4"/>
  <c r="BD11" i="4"/>
  <c r="AU61" i="4"/>
  <c r="AU59" i="4"/>
  <c r="AU57" i="4"/>
  <c r="AU55" i="4"/>
  <c r="AU54" i="4"/>
  <c r="AU53" i="4"/>
  <c r="AU52" i="4"/>
  <c r="AU51" i="4"/>
  <c r="AU50" i="4"/>
  <c r="AU49" i="4"/>
  <c r="AU48" i="4"/>
  <c r="AU47" i="4"/>
  <c r="AU44" i="4"/>
  <c r="AU43" i="4"/>
  <c r="AU42" i="4"/>
  <c r="AU41" i="4"/>
  <c r="AU40" i="4"/>
  <c r="AU39" i="4"/>
  <c r="AU38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1" i="4"/>
  <c r="K57" i="4"/>
  <c r="K55" i="4"/>
  <c r="K44" i="4"/>
  <c r="K34" i="4"/>
  <c r="N57" i="4"/>
  <c r="N55" i="4"/>
  <c r="N44" i="4"/>
  <c r="N34" i="4"/>
  <c r="BD55" i="3"/>
  <c r="BD53" i="3"/>
  <c r="BD51" i="3"/>
  <c r="BD50" i="3"/>
  <c r="BD49" i="3"/>
  <c r="BD48" i="3"/>
  <c r="BD47" i="3"/>
  <c r="BD46" i="3"/>
  <c r="BD45" i="3"/>
  <c r="BD43" i="3"/>
  <c r="BD42" i="3"/>
  <c r="BD41" i="3"/>
  <c r="BD40" i="3"/>
  <c r="BD36" i="3"/>
  <c r="BD35" i="3"/>
  <c r="BD34" i="3"/>
  <c r="BD33" i="3"/>
  <c r="BD32" i="3"/>
  <c r="BD31" i="3"/>
  <c r="BD27" i="3"/>
  <c r="BD25" i="3"/>
  <c r="BD24" i="3"/>
  <c r="BD23" i="3"/>
  <c r="BD22" i="3"/>
  <c r="BD21" i="3"/>
  <c r="BD20" i="3"/>
  <c r="BD16" i="3"/>
  <c r="BD15" i="3"/>
  <c r="BD14" i="3"/>
  <c r="BD13" i="3"/>
  <c r="BD12" i="3"/>
  <c r="BD11" i="3"/>
  <c r="N51" i="3"/>
  <c r="N53" i="3" s="1"/>
  <c r="N55" i="3" s="1"/>
  <c r="N43" i="3"/>
  <c r="N36" i="3"/>
  <c r="N27" i="3"/>
  <c r="N25" i="3"/>
  <c r="N16" i="3"/>
  <c r="AU11" i="3"/>
  <c r="AU55" i="3"/>
  <c r="AU53" i="3"/>
  <c r="AU51" i="3"/>
  <c r="AU50" i="3"/>
  <c r="AU49" i="3"/>
  <c r="AU48" i="3"/>
  <c r="AU47" i="3"/>
  <c r="AU46" i="3"/>
  <c r="AU45" i="3"/>
  <c r="AU43" i="3"/>
  <c r="AU42" i="3"/>
  <c r="AU41" i="3"/>
  <c r="AU40" i="3"/>
  <c r="AU36" i="3"/>
  <c r="AU35" i="3"/>
  <c r="AU34" i="3"/>
  <c r="AU33" i="3"/>
  <c r="AU32" i="3"/>
  <c r="AU31" i="3"/>
  <c r="AU27" i="3"/>
  <c r="AU25" i="3"/>
  <c r="AU24" i="3"/>
  <c r="AU23" i="3"/>
  <c r="AU22" i="3"/>
  <c r="AU21" i="3"/>
  <c r="AU20" i="3"/>
  <c r="AU16" i="3"/>
  <c r="AU15" i="3"/>
  <c r="AU14" i="3"/>
  <c r="AU13" i="3"/>
  <c r="AU12" i="3"/>
  <c r="K53" i="3"/>
  <c r="K55" i="3" s="1"/>
  <c r="K51" i="3"/>
  <c r="K43" i="3"/>
  <c r="K36" i="3"/>
  <c r="K27" i="3"/>
  <c r="K25" i="3"/>
  <c r="K16" i="3"/>
  <c r="AU23" i="9"/>
  <c r="AU22" i="9"/>
  <c r="AU20" i="9"/>
  <c r="AU19" i="9"/>
  <c r="AU18" i="9"/>
  <c r="AU17" i="9"/>
  <c r="AU15" i="9"/>
  <c r="AU14" i="9"/>
  <c r="AU13" i="9"/>
  <c r="AU11" i="9"/>
  <c r="AU10" i="9"/>
  <c r="K23" i="9"/>
  <c r="K20" i="9"/>
  <c r="K15" i="9"/>
  <c r="K11" i="9"/>
  <c r="BD23" i="9"/>
  <c r="BD22" i="9"/>
  <c r="BD20" i="9"/>
  <c r="BD19" i="9"/>
  <c r="BD18" i="9"/>
  <c r="BD17" i="9"/>
  <c r="BD15" i="9"/>
  <c r="BD14" i="9"/>
  <c r="BD13" i="9"/>
  <c r="BD11" i="9"/>
  <c r="BD10" i="9"/>
  <c r="N23" i="9"/>
  <c r="N20" i="9"/>
  <c r="M15" i="9"/>
  <c r="N15" i="9"/>
  <c r="N11" i="9"/>
  <c r="AT15" i="7" l="1"/>
  <c r="AT11" i="7"/>
  <c r="AT13" i="7"/>
  <c r="BC13" i="10"/>
  <c r="BB13" i="10"/>
  <c r="BA13" i="10"/>
  <c r="AZ13" i="10"/>
  <c r="AW13" i="10"/>
  <c r="AX13" i="10"/>
  <c r="AY13" i="10"/>
  <c r="AP34" i="4"/>
  <c r="AP44" i="4"/>
  <c r="AP55" i="4"/>
  <c r="AP57" i="4" l="1"/>
  <c r="AP61" i="4" s="1"/>
  <c r="AT55" i="4" l="1"/>
  <c r="AT44" i="4"/>
  <c r="AT34" i="4"/>
  <c r="AY61" i="4"/>
  <c r="AY57" i="4"/>
  <c r="AY55" i="4"/>
  <c r="AY44" i="4"/>
  <c r="AY34" i="4"/>
  <c r="BC61" i="4"/>
  <c r="BC57" i="4"/>
  <c r="BC55" i="4"/>
  <c r="BC44" i="4"/>
  <c r="BC34" i="4"/>
  <c r="AT13" i="10"/>
  <c r="AT9" i="10"/>
  <c r="BC9" i="10"/>
  <c r="AT22" i="3"/>
  <c r="AT48" i="3"/>
  <c r="AT57" i="4" l="1"/>
  <c r="AT61" i="4" s="1"/>
  <c r="AT51" i="3" l="1"/>
  <c r="AT43" i="3"/>
  <c r="AT36" i="3"/>
  <c r="AT25" i="3"/>
  <c r="AT16" i="3"/>
  <c r="BC53" i="3"/>
  <c r="BC55" i="3" s="1"/>
  <c r="BC51" i="3"/>
  <c r="BC43" i="3"/>
  <c r="BC36" i="3"/>
  <c r="BC27" i="3"/>
  <c r="BC25" i="3"/>
  <c r="BC16" i="3"/>
  <c r="AT53" i="3" l="1"/>
  <c r="AT55" i="3"/>
  <c r="AT27" i="3"/>
  <c r="AY13" i="3"/>
  <c r="AP48" i="3"/>
  <c r="AP22" i="3"/>
  <c r="F14" i="8" l="1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N18" i="8" l="1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O18" i="8"/>
  <c r="M18" i="8"/>
  <c r="P47" i="8" l="1"/>
  <c r="O47" i="8"/>
  <c r="N47" i="8"/>
  <c r="M47" i="8"/>
  <c r="P46" i="8"/>
  <c r="O46" i="8"/>
  <c r="N46" i="8"/>
  <c r="M46" i="8"/>
  <c r="P45" i="8"/>
  <c r="O45" i="8"/>
  <c r="N45" i="8"/>
  <c r="M45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J42" i="8"/>
  <c r="I42" i="8"/>
  <c r="H42" i="8"/>
  <c r="G42" i="8"/>
  <c r="F42" i="8"/>
  <c r="E42" i="8"/>
  <c r="AP14" i="8" l="1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J14" i="8" l="1"/>
  <c r="I14" i="8"/>
  <c r="H14" i="8"/>
  <c r="G14" i="8"/>
  <c r="D14" i="8"/>
  <c r="E14" i="8"/>
  <c r="J9" i="8" l="1"/>
  <c r="I9" i="8"/>
  <c r="BB16" i="6" l="1"/>
  <c r="BA16" i="6"/>
  <c r="AZ16" i="6"/>
  <c r="AY16" i="6"/>
  <c r="AX16" i="6"/>
  <c r="AW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K16" i="6"/>
  <c r="J16" i="6"/>
  <c r="I16" i="6"/>
  <c r="H16" i="6"/>
  <c r="G16" i="6"/>
  <c r="F16" i="6"/>
  <c r="E16" i="6"/>
  <c r="D16" i="6"/>
  <c r="BB19" i="6"/>
  <c r="BA19" i="6"/>
  <c r="AZ19" i="6"/>
  <c r="AY19" i="6"/>
  <c r="AX19" i="6"/>
  <c r="AW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N19" i="6"/>
  <c r="M19" i="6"/>
  <c r="K19" i="6"/>
  <c r="J19" i="6"/>
  <c r="I19" i="6"/>
  <c r="H19" i="6"/>
  <c r="G19" i="6"/>
  <c r="F19" i="6"/>
  <c r="E19" i="6"/>
  <c r="D19" i="6"/>
  <c r="D16" i="10"/>
  <c r="M15" i="10"/>
  <c r="M16" i="6" s="1"/>
  <c r="D15" i="10"/>
  <c r="I13" i="10"/>
  <c r="H13" i="10"/>
  <c r="D11" i="10"/>
  <c r="D10" i="10"/>
  <c r="M9" i="10"/>
  <c r="J9" i="10"/>
  <c r="H9" i="10"/>
  <c r="G9" i="10"/>
  <c r="F9" i="10"/>
  <c r="F13" i="10" s="1"/>
  <c r="E9" i="10"/>
  <c r="E13" i="10" s="1"/>
  <c r="D9" i="10"/>
  <c r="D12" i="10" s="1"/>
  <c r="H7" i="10"/>
  <c r="I7" i="10" s="1"/>
  <c r="M7" i="10" s="1"/>
  <c r="J7" i="10" s="1"/>
  <c r="N7" i="10" s="1"/>
  <c r="G7" i="10"/>
  <c r="U6" i="10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H6" i="10" s="1"/>
  <c r="AI6" i="10" s="1"/>
  <c r="AJ6" i="10" s="1"/>
  <c r="AK6" i="10" s="1"/>
  <c r="AL6" i="10" s="1"/>
  <c r="AM6" i="10" s="1"/>
  <c r="N6" i="10"/>
  <c r="M6" i="10"/>
  <c r="AW6" i="10" s="1"/>
  <c r="G6" i="10"/>
  <c r="H6" i="10" s="1"/>
  <c r="B2" i="10"/>
  <c r="I6" i="10" l="1"/>
  <c r="T6" i="10"/>
  <c r="J6" i="10"/>
  <c r="AX6" i="10"/>
  <c r="AY6" i="10" s="1"/>
  <c r="AZ6" i="10" s="1"/>
  <c r="BA6" i="10"/>
  <c r="BB6" i="10" s="1"/>
  <c r="BC6" i="10" s="1"/>
  <c r="BD6" i="10" s="1"/>
  <c r="D13" i="10"/>
  <c r="G13" i="10"/>
  <c r="M13" i="10"/>
  <c r="BB15" i="6"/>
  <c r="BA15" i="6"/>
  <c r="AZ15" i="6"/>
  <c r="AY15" i="6"/>
  <c r="AX15" i="6"/>
  <c r="AW15" i="6"/>
  <c r="BB14" i="6"/>
  <c r="BA14" i="6"/>
  <c r="AZ14" i="6"/>
  <c r="AY14" i="6"/>
  <c r="AX14" i="6"/>
  <c r="AW14" i="6"/>
  <c r="BB12" i="6"/>
  <c r="BA12" i="6"/>
  <c r="AZ12" i="6"/>
  <c r="AY12" i="6"/>
  <c r="AX12" i="6"/>
  <c r="AW12" i="6"/>
  <c r="BB11" i="6"/>
  <c r="BA11" i="6"/>
  <c r="AZ11" i="6"/>
  <c r="AY11" i="6"/>
  <c r="AX11" i="6"/>
  <c r="AW11" i="6"/>
  <c r="BB9" i="6"/>
  <c r="BA9" i="6"/>
  <c r="AZ9" i="6"/>
  <c r="AY9" i="6"/>
  <c r="AX9" i="6"/>
  <c r="AW9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AS9" i="6"/>
  <c r="AS17" i="6" s="1"/>
  <c r="AR9" i="6"/>
  <c r="AQ9" i="6"/>
  <c r="AP9" i="6"/>
  <c r="AO9" i="6"/>
  <c r="AO17" i="6" s="1"/>
  <c r="AN9" i="6"/>
  <c r="AM9" i="6"/>
  <c r="AL9" i="6"/>
  <c r="AK9" i="6"/>
  <c r="AK17" i="6" s="1"/>
  <c r="AJ9" i="6"/>
  <c r="AI9" i="6"/>
  <c r="AH9" i="6"/>
  <c r="AG9" i="6"/>
  <c r="AG17" i="6" s="1"/>
  <c r="AF9" i="6"/>
  <c r="AE9" i="6"/>
  <c r="AD9" i="6"/>
  <c r="AC9" i="6"/>
  <c r="AC17" i="6" s="1"/>
  <c r="AB9" i="6"/>
  <c r="AA9" i="6"/>
  <c r="Z9" i="6"/>
  <c r="Y9" i="6"/>
  <c r="Y17" i="6" s="1"/>
  <c r="X9" i="6"/>
  <c r="W9" i="6"/>
  <c r="V9" i="6"/>
  <c r="U9" i="6"/>
  <c r="U17" i="6" s="1"/>
  <c r="T9" i="6"/>
  <c r="S9" i="6"/>
  <c r="R9" i="6"/>
  <c r="Q9" i="6"/>
  <c r="Q17" i="6" s="1"/>
  <c r="P9" i="6"/>
  <c r="N15" i="6"/>
  <c r="M15" i="6"/>
  <c r="N14" i="6"/>
  <c r="M14" i="6"/>
  <c r="N12" i="6"/>
  <c r="M12" i="6"/>
  <c r="N11" i="6"/>
  <c r="M11" i="6"/>
  <c r="N9" i="6"/>
  <c r="K15" i="6"/>
  <c r="K14" i="6"/>
  <c r="K12" i="6"/>
  <c r="K11" i="6"/>
  <c r="K9" i="6"/>
  <c r="I15" i="6"/>
  <c r="H15" i="6"/>
  <c r="G15" i="6"/>
  <c r="F15" i="6"/>
  <c r="E15" i="6"/>
  <c r="D15" i="6"/>
  <c r="I14" i="6"/>
  <c r="H14" i="6"/>
  <c r="G14" i="6"/>
  <c r="F14" i="6"/>
  <c r="E14" i="6"/>
  <c r="D14" i="6"/>
  <c r="I12" i="6"/>
  <c r="H12" i="6"/>
  <c r="G12" i="6"/>
  <c r="F12" i="6"/>
  <c r="E12" i="6"/>
  <c r="D12" i="6"/>
  <c r="I11" i="6"/>
  <c r="H11" i="6"/>
  <c r="G11" i="6"/>
  <c r="F11" i="6"/>
  <c r="E11" i="6"/>
  <c r="D11" i="6"/>
  <c r="J15" i="6"/>
  <c r="J14" i="6"/>
  <c r="J12" i="6"/>
  <c r="J11" i="6"/>
  <c r="I15" i="9"/>
  <c r="I20" i="9" s="1"/>
  <c r="I23" i="9" s="1"/>
  <c r="I9" i="6" s="1"/>
  <c r="D13" i="9"/>
  <c r="M11" i="9"/>
  <c r="M20" i="9" s="1"/>
  <c r="M23" i="9" s="1"/>
  <c r="M9" i="6" s="1"/>
  <c r="J11" i="9"/>
  <c r="J15" i="9" s="1"/>
  <c r="J20" i="9" s="1"/>
  <c r="J23" i="9" s="1"/>
  <c r="J9" i="6" s="1"/>
  <c r="I11" i="9"/>
  <c r="H11" i="9"/>
  <c r="H15" i="9" s="1"/>
  <c r="H20" i="9" s="1"/>
  <c r="H23" i="9" s="1"/>
  <c r="H9" i="6" s="1"/>
  <c r="G11" i="9"/>
  <c r="G15" i="9" s="1"/>
  <c r="G20" i="9" s="1"/>
  <c r="G23" i="9" s="1"/>
  <c r="G9" i="6" s="1"/>
  <c r="F11" i="9"/>
  <c r="F15" i="9" s="1"/>
  <c r="F20" i="9" s="1"/>
  <c r="F23" i="9" s="1"/>
  <c r="F9" i="6" s="1"/>
  <c r="E11" i="9"/>
  <c r="E15" i="9" s="1"/>
  <c r="E20" i="9" s="1"/>
  <c r="E23" i="9" s="1"/>
  <c r="E9" i="6" s="1"/>
  <c r="D10" i="9"/>
  <c r="D11" i="9" s="1"/>
  <c r="D9" i="9"/>
  <c r="G7" i="9"/>
  <c r="H7" i="9" s="1"/>
  <c r="I7" i="9" s="1"/>
  <c r="M7" i="9" s="1"/>
  <c r="U6" i="9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M6" i="9"/>
  <c r="AW6" i="9" s="1"/>
  <c r="G6" i="9"/>
  <c r="H6" i="9" s="1"/>
  <c r="B2" i="9"/>
  <c r="BB17" i="7"/>
  <c r="BA17" i="7"/>
  <c r="AZ17" i="7"/>
  <c r="AY17" i="7"/>
  <c r="AX17" i="7"/>
  <c r="AW17" i="7"/>
  <c r="BB14" i="7"/>
  <c r="BA14" i="7"/>
  <c r="AZ14" i="7"/>
  <c r="AY14" i="7"/>
  <c r="AX14" i="7"/>
  <c r="AW14" i="7"/>
  <c r="BB12" i="7"/>
  <c r="BA12" i="7"/>
  <c r="AZ12" i="7"/>
  <c r="AY12" i="7"/>
  <c r="AX12" i="7"/>
  <c r="AW12" i="7"/>
  <c r="BB10" i="7"/>
  <c r="BA10" i="7"/>
  <c r="AZ10" i="7"/>
  <c r="AY10" i="7"/>
  <c r="AX10" i="7"/>
  <c r="AW10" i="7"/>
  <c r="BB9" i="7"/>
  <c r="BB15" i="7" s="1"/>
  <c r="BA9" i="7"/>
  <c r="BA15" i="7" s="1"/>
  <c r="AX9" i="7"/>
  <c r="AX15" i="7" s="1"/>
  <c r="AW9" i="7"/>
  <c r="AW15" i="7" s="1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AS9" i="7"/>
  <c r="AS11" i="7" s="1"/>
  <c r="AR9" i="7"/>
  <c r="AR15" i="7" s="1"/>
  <c r="AO9" i="7"/>
  <c r="AO15" i="7" s="1"/>
  <c r="AN9" i="7"/>
  <c r="AN13" i="7" s="1"/>
  <c r="AK9" i="7"/>
  <c r="AK11" i="7" s="1"/>
  <c r="AJ9" i="7"/>
  <c r="AJ15" i="7" s="1"/>
  <c r="AG9" i="7"/>
  <c r="AG15" i="7" s="1"/>
  <c r="AF9" i="7"/>
  <c r="AF15" i="7" s="1"/>
  <c r="AC9" i="7"/>
  <c r="AC15" i="7" s="1"/>
  <c r="AB9" i="7"/>
  <c r="AB11" i="7" s="1"/>
  <c r="Y9" i="7"/>
  <c r="Y13" i="7" s="1"/>
  <c r="X9" i="7"/>
  <c r="X13" i="7" s="1"/>
  <c r="U9" i="7"/>
  <c r="U13" i="7" s="1"/>
  <c r="T9" i="7"/>
  <c r="T15" i="7" s="1"/>
  <c r="Q9" i="7"/>
  <c r="Q15" i="7" s="1"/>
  <c r="P9" i="7"/>
  <c r="P11" i="7" s="1"/>
  <c r="M14" i="7"/>
  <c r="M12" i="7"/>
  <c r="M10" i="7"/>
  <c r="M11" i="7" s="1"/>
  <c r="M9" i="7"/>
  <c r="M13" i="7" s="1"/>
  <c r="I17" i="7"/>
  <c r="H17" i="7"/>
  <c r="G17" i="7"/>
  <c r="F17" i="7"/>
  <c r="E17" i="7"/>
  <c r="D17" i="7"/>
  <c r="I14" i="7"/>
  <c r="H14" i="7"/>
  <c r="G14" i="7"/>
  <c r="F14" i="7"/>
  <c r="E14" i="7"/>
  <c r="D14" i="7"/>
  <c r="I12" i="7"/>
  <c r="H12" i="7"/>
  <c r="G12" i="7"/>
  <c r="F12" i="7"/>
  <c r="E12" i="7"/>
  <c r="D12" i="7"/>
  <c r="I10" i="7"/>
  <c r="H10" i="7"/>
  <c r="G10" i="7"/>
  <c r="F10" i="7"/>
  <c r="E10" i="7"/>
  <c r="D10" i="7"/>
  <c r="I9" i="7"/>
  <c r="I15" i="7" s="1"/>
  <c r="H9" i="7"/>
  <c r="H15" i="7" s="1"/>
  <c r="E9" i="7"/>
  <c r="E13" i="7" s="1"/>
  <c r="D9" i="7"/>
  <c r="D15" i="7" s="1"/>
  <c r="J17" i="7"/>
  <c r="J14" i="7"/>
  <c r="J12" i="7"/>
  <c r="J10" i="7"/>
  <c r="J9" i="7"/>
  <c r="J15" i="7" s="1"/>
  <c r="D15" i="9" l="1"/>
  <c r="D20" i="9" s="1"/>
  <c r="D23" i="9" s="1"/>
  <c r="D9" i="6" s="1"/>
  <c r="D17" i="6" s="1"/>
  <c r="AZ17" i="6"/>
  <c r="AZ20" i="6" s="1"/>
  <c r="J17" i="6"/>
  <c r="J20" i="6" s="1"/>
  <c r="G17" i="6"/>
  <c r="G20" i="6" s="1"/>
  <c r="M17" i="6"/>
  <c r="M20" i="6" s="1"/>
  <c r="R17" i="6"/>
  <c r="R20" i="6" s="1"/>
  <c r="V17" i="6"/>
  <c r="Z17" i="6"/>
  <c r="Z20" i="6" s="1"/>
  <c r="AD17" i="6"/>
  <c r="AD20" i="6" s="1"/>
  <c r="AH17" i="6"/>
  <c r="AH20" i="6" s="1"/>
  <c r="AL17" i="6"/>
  <c r="AP17" i="6"/>
  <c r="AP20" i="6" s="1"/>
  <c r="AW17" i="6"/>
  <c r="BA17" i="6"/>
  <c r="BA20" i="6" s="1"/>
  <c r="H17" i="6"/>
  <c r="H19" i="7" s="1"/>
  <c r="E17" i="6"/>
  <c r="E20" i="6" s="1"/>
  <c r="I17" i="6"/>
  <c r="I20" i="6" s="1"/>
  <c r="I20" i="7" s="1"/>
  <c r="F17" i="6"/>
  <c r="F20" i="6" s="1"/>
  <c r="K17" i="6"/>
  <c r="N17" i="6"/>
  <c r="S17" i="6"/>
  <c r="W17" i="6"/>
  <c r="AA17" i="6"/>
  <c r="AA20" i="6" s="1"/>
  <c r="AE17" i="6"/>
  <c r="AI17" i="6"/>
  <c r="AM17" i="6"/>
  <c r="AQ17" i="6"/>
  <c r="AX17" i="6"/>
  <c r="AX20" i="6" s="1"/>
  <c r="BB17" i="6"/>
  <c r="BB20" i="6" s="1"/>
  <c r="P17" i="6"/>
  <c r="T17" i="6"/>
  <c r="T20" i="6" s="1"/>
  <c r="X17" i="6"/>
  <c r="AB17" i="6"/>
  <c r="AB20" i="6" s="1"/>
  <c r="AF17" i="6"/>
  <c r="AJ17" i="6"/>
  <c r="AJ20" i="6" s="1"/>
  <c r="AN17" i="6"/>
  <c r="AN20" i="6" s="1"/>
  <c r="AR17" i="6"/>
  <c r="AY17" i="6"/>
  <c r="AY20" i="6" s="1"/>
  <c r="K6" i="10"/>
  <c r="P6" i="10"/>
  <c r="Q6" i="10" s="1"/>
  <c r="R6" i="10" s="1"/>
  <c r="S6" i="10" s="1"/>
  <c r="AW20" i="6"/>
  <c r="V20" i="6"/>
  <c r="AL20" i="6"/>
  <c r="Q20" i="6"/>
  <c r="U20" i="6"/>
  <c r="Y20" i="6"/>
  <c r="AC20" i="6"/>
  <c r="AG20" i="6"/>
  <c r="AK20" i="6"/>
  <c r="AO20" i="6"/>
  <c r="AS20" i="6"/>
  <c r="H20" i="6"/>
  <c r="H20" i="7" s="1"/>
  <c r="BA6" i="9"/>
  <c r="BB6" i="9" s="1"/>
  <c r="BC6" i="9" s="1"/>
  <c r="BD6" i="9" s="1"/>
  <c r="AX6" i="9"/>
  <c r="AY6" i="9" s="1"/>
  <c r="AZ6" i="9" s="1"/>
  <c r="K7" i="9"/>
  <c r="N7" i="9"/>
  <c r="T6" i="9"/>
  <c r="J6" i="9"/>
  <c r="I6" i="9"/>
  <c r="N6" i="9"/>
  <c r="AY11" i="7"/>
  <c r="AZ11" i="7"/>
  <c r="AW11" i="7"/>
  <c r="BA11" i="7"/>
  <c r="AW13" i="7"/>
  <c r="BA13" i="7"/>
  <c r="AX11" i="7"/>
  <c r="BB11" i="7"/>
  <c r="AX13" i="7"/>
  <c r="BB13" i="7"/>
  <c r="AY9" i="7"/>
  <c r="AY15" i="7" s="1"/>
  <c r="AZ9" i="7"/>
  <c r="AZ15" i="7" s="1"/>
  <c r="X11" i="7"/>
  <c r="AF11" i="7"/>
  <c r="AN11" i="7"/>
  <c r="P13" i="7"/>
  <c r="AB13" i="7"/>
  <c r="AJ13" i="7"/>
  <c r="P15" i="7"/>
  <c r="X15" i="7"/>
  <c r="AN15" i="7"/>
  <c r="T11" i="7"/>
  <c r="AR11" i="7"/>
  <c r="T13" i="7"/>
  <c r="AF13" i="7"/>
  <c r="AR13" i="7"/>
  <c r="AB15" i="7"/>
  <c r="U11" i="7"/>
  <c r="AC11" i="7"/>
  <c r="AO11" i="7"/>
  <c r="Q13" i="7"/>
  <c r="AC13" i="7"/>
  <c r="AK13" i="7"/>
  <c r="AS13" i="7"/>
  <c r="U15" i="7"/>
  <c r="Y15" i="7"/>
  <c r="AK15" i="7"/>
  <c r="AS15" i="7"/>
  <c r="R9" i="7"/>
  <c r="R15" i="7" s="1"/>
  <c r="V9" i="7"/>
  <c r="V15" i="7" s="1"/>
  <c r="Z9" i="7"/>
  <c r="Z15" i="7" s="1"/>
  <c r="AD9" i="7"/>
  <c r="AD15" i="7" s="1"/>
  <c r="AH9" i="7"/>
  <c r="AH15" i="7" s="1"/>
  <c r="AL9" i="7"/>
  <c r="AL15" i="7" s="1"/>
  <c r="AP9" i="7"/>
  <c r="AP15" i="7" s="1"/>
  <c r="AJ11" i="7"/>
  <c r="Q11" i="7"/>
  <c r="Y11" i="7"/>
  <c r="AG11" i="7"/>
  <c r="AG13" i="7"/>
  <c r="AO13" i="7"/>
  <c r="S9" i="7"/>
  <c r="S15" i="7" s="1"/>
  <c r="W9" i="7"/>
  <c r="W15" i="7" s="1"/>
  <c r="AA9" i="7"/>
  <c r="AA15" i="7" s="1"/>
  <c r="AE9" i="7"/>
  <c r="AE15" i="7" s="1"/>
  <c r="AI9" i="7"/>
  <c r="AI15" i="7" s="1"/>
  <c r="AM9" i="7"/>
  <c r="AM15" i="7" s="1"/>
  <c r="AQ9" i="7"/>
  <c r="AQ15" i="7" s="1"/>
  <c r="M15" i="7"/>
  <c r="J20" i="7"/>
  <c r="J19" i="7"/>
  <c r="G11" i="7"/>
  <c r="D11" i="7"/>
  <c r="H11" i="7"/>
  <c r="D13" i="7"/>
  <c r="H13" i="7"/>
  <c r="I11" i="7"/>
  <c r="I13" i="7"/>
  <c r="E15" i="7"/>
  <c r="F9" i="7"/>
  <c r="F15" i="7" s="1"/>
  <c r="E11" i="7"/>
  <c r="G9" i="7"/>
  <c r="G15" i="7" s="1"/>
  <c r="D20" i="6" l="1"/>
  <c r="D20" i="7" s="1"/>
  <c r="D19" i="7"/>
  <c r="AR20" i="6"/>
  <c r="AU20" i="7" s="1"/>
  <c r="AU19" i="7"/>
  <c r="AQ20" i="6"/>
  <c r="AT19" i="7"/>
  <c r="K20" i="6"/>
  <c r="K20" i="7" s="1"/>
  <c r="K19" i="7"/>
  <c r="N20" i="6"/>
  <c r="I19" i="7"/>
  <c r="AR19" i="7"/>
  <c r="AI19" i="7"/>
  <c r="S19" i="7"/>
  <c r="AD20" i="7"/>
  <c r="AP19" i="7"/>
  <c r="AE19" i="7"/>
  <c r="AC19" i="7"/>
  <c r="AD19" i="7"/>
  <c r="W20" i="6"/>
  <c r="W20" i="7" s="1"/>
  <c r="Z19" i="7"/>
  <c r="AN19" i="7"/>
  <c r="X19" i="7"/>
  <c r="AJ20" i="7"/>
  <c r="AS20" i="7"/>
  <c r="AC20" i="7"/>
  <c r="AI20" i="6"/>
  <c r="AL20" i="7" s="1"/>
  <c r="AL19" i="7"/>
  <c r="S20" i="6"/>
  <c r="V20" i="7" s="1"/>
  <c r="V19" i="7"/>
  <c r="Y19" i="7"/>
  <c r="AJ19" i="7"/>
  <c r="T19" i="7"/>
  <c r="AQ19" i="7"/>
  <c r="AA19" i="7"/>
  <c r="AE20" i="6"/>
  <c r="AH19" i="7"/>
  <c r="AO19" i="7"/>
  <c r="U19" i="7"/>
  <c r="AF19" i="7"/>
  <c r="AS19" i="7"/>
  <c r="AR20" i="7"/>
  <c r="AB20" i="7"/>
  <c r="AQ20" i="7"/>
  <c r="AK20" i="7"/>
  <c r="AM19" i="7"/>
  <c r="W19" i="7"/>
  <c r="AG19" i="7"/>
  <c r="AB19" i="7"/>
  <c r="AK19" i="7"/>
  <c r="X20" i="6"/>
  <c r="AM20" i="6"/>
  <c r="AP20" i="7" s="1"/>
  <c r="AF20" i="6"/>
  <c r="P20" i="6"/>
  <c r="P6" i="9"/>
  <c r="Q6" i="9" s="1"/>
  <c r="R6" i="9" s="1"/>
  <c r="S6" i="9" s="1"/>
  <c r="K6" i="9"/>
  <c r="AZ13" i="7"/>
  <c r="AY13" i="7"/>
  <c r="AQ11" i="7"/>
  <c r="AA11" i="7"/>
  <c r="AL11" i="7"/>
  <c r="V11" i="7"/>
  <c r="AI13" i="7"/>
  <c r="S13" i="7"/>
  <c r="AD13" i="7"/>
  <c r="AM11" i="7"/>
  <c r="W11" i="7"/>
  <c r="AH11" i="7"/>
  <c r="R11" i="7"/>
  <c r="AE13" i="7"/>
  <c r="AP13" i="7"/>
  <c r="Z13" i="7"/>
  <c r="AI11" i="7"/>
  <c r="S11" i="7"/>
  <c r="AD11" i="7"/>
  <c r="AQ13" i="7"/>
  <c r="AA13" i="7"/>
  <c r="AL13" i="7"/>
  <c r="V13" i="7"/>
  <c r="AE11" i="7"/>
  <c r="AP11" i="7"/>
  <c r="Z11" i="7"/>
  <c r="AM13" i="7"/>
  <c r="W13" i="7"/>
  <c r="AH13" i="7"/>
  <c r="R13" i="7"/>
  <c r="F19" i="7"/>
  <c r="F20" i="7"/>
  <c r="F11" i="7"/>
  <c r="G13" i="7"/>
  <c r="E20" i="7"/>
  <c r="E19" i="7"/>
  <c r="G19" i="7"/>
  <c r="G20" i="7"/>
  <c r="F13" i="7"/>
  <c r="S20" i="7" l="1"/>
  <c r="AT20" i="7"/>
  <c r="AG20" i="7"/>
  <c r="AF20" i="7"/>
  <c r="AE20" i="7"/>
  <c r="T20" i="7"/>
  <c r="AN20" i="7"/>
  <c r="AA20" i="7"/>
  <c r="Z20" i="7"/>
  <c r="X20" i="7"/>
  <c r="Y20" i="7"/>
  <c r="AI20" i="7"/>
  <c r="U20" i="7"/>
  <c r="AH20" i="7"/>
  <c r="AO20" i="7"/>
  <c r="AM20" i="7"/>
  <c r="AO50" i="3" l="1"/>
  <c r="AO49" i="3"/>
  <c r="AO22" i="3"/>
  <c r="AO23" i="3"/>
  <c r="AO48" i="3" l="1"/>
  <c r="AZ50" i="3" l="1"/>
  <c r="AZ49" i="3"/>
  <c r="AZ48" i="3"/>
  <c r="AZ47" i="3"/>
  <c r="AZ46" i="3"/>
  <c r="AZ45" i="3"/>
  <c r="AZ42" i="3"/>
  <c r="AZ41" i="3"/>
  <c r="AZ40" i="3"/>
  <c r="AZ35" i="3"/>
  <c r="AZ34" i="3"/>
  <c r="AZ33" i="3"/>
  <c r="AZ32" i="3"/>
  <c r="AZ31" i="3"/>
  <c r="AZ24" i="3"/>
  <c r="AZ23" i="3"/>
  <c r="AZ22" i="3"/>
  <c r="AZ21" i="3"/>
  <c r="AZ20" i="3"/>
  <c r="AZ15" i="3"/>
  <c r="AZ14" i="3"/>
  <c r="AZ13" i="3"/>
  <c r="AZ12" i="3"/>
  <c r="AZ11" i="3"/>
  <c r="AW13" i="3" l="1"/>
  <c r="AW12" i="3"/>
  <c r="X53" i="3" l="1"/>
  <c r="F45" i="3"/>
  <c r="F21" i="3"/>
  <c r="E21" i="3"/>
  <c r="E45" i="3"/>
  <c r="F51" i="3" l="1"/>
  <c r="BB36" i="3"/>
  <c r="BA36" i="3"/>
  <c r="AZ36" i="3"/>
  <c r="AY36" i="3"/>
  <c r="AX36" i="3"/>
  <c r="AW36" i="3"/>
  <c r="AS36" i="3" l="1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 l="1"/>
  <c r="AD36" i="3"/>
  <c r="AD22" i="3"/>
  <c r="AC36" i="3" l="1"/>
  <c r="AC22" i="3"/>
  <c r="AB22" i="3" l="1"/>
  <c r="AB36" i="3" l="1"/>
  <c r="AA36" i="3"/>
  <c r="AA19" i="3"/>
  <c r="Z36" i="3"/>
  <c r="Z22" i="3"/>
  <c r="Y36" i="3"/>
  <c r="Y22" i="3"/>
  <c r="X36" i="3"/>
  <c r="X22" i="3"/>
  <c r="W19" i="3"/>
  <c r="V22" i="3"/>
  <c r="V36" i="3"/>
  <c r="V51" i="3"/>
  <c r="W36" i="3"/>
  <c r="U36" i="3"/>
  <c r="U22" i="3"/>
  <c r="T36" i="3"/>
  <c r="T22" i="3"/>
  <c r="E36" i="3"/>
  <c r="S36" i="3"/>
  <c r="S19" i="3"/>
  <c r="P36" i="3"/>
  <c r="Q36" i="3"/>
  <c r="R36" i="3"/>
  <c r="R22" i="3"/>
  <c r="Q22" i="3"/>
  <c r="P22" i="3"/>
  <c r="D36" i="3"/>
  <c r="D51" i="3"/>
  <c r="M36" i="3"/>
  <c r="J36" i="3"/>
  <c r="I36" i="3"/>
  <c r="H36" i="3"/>
  <c r="G36" i="3"/>
  <c r="F36" i="3"/>
  <c r="D22" i="3"/>
  <c r="AQ20" i="3" l="1"/>
  <c r="AM20" i="3"/>
  <c r="AI20" i="3"/>
  <c r="AE20" i="3"/>
  <c r="AA20" i="3"/>
  <c r="W20" i="3"/>
  <c r="S20" i="3"/>
  <c r="AS51" i="3" l="1"/>
  <c r="AS43" i="3"/>
  <c r="AS25" i="3"/>
  <c r="AS16" i="3"/>
  <c r="AS53" i="3" l="1"/>
  <c r="AS55" i="3"/>
  <c r="AS27" i="3"/>
  <c r="BB51" i="3" l="1"/>
  <c r="BB43" i="3"/>
  <c r="BB25" i="3"/>
  <c r="BB16" i="3"/>
  <c r="BB53" i="3" l="1"/>
  <c r="BB55" i="3" s="1"/>
  <c r="BB27" i="3"/>
  <c r="AE50" i="3" l="1"/>
  <c r="AE49" i="3"/>
  <c r="AE48" i="3"/>
  <c r="AE47" i="3"/>
  <c r="AE46" i="3"/>
  <c r="AE45" i="3"/>
  <c r="AE42" i="3"/>
  <c r="AE41" i="3"/>
  <c r="AE40" i="3"/>
  <c r="AE35" i="3"/>
  <c r="AE34" i="3"/>
  <c r="AE33" i="3"/>
  <c r="AE32" i="3"/>
  <c r="AE24" i="3"/>
  <c r="AE23" i="3"/>
  <c r="AE22" i="3"/>
  <c r="AE21" i="3"/>
  <c r="AE15" i="3"/>
  <c r="AE14" i="3"/>
  <c r="AE13" i="3"/>
  <c r="AE12" i="3"/>
  <c r="AE11" i="3"/>
  <c r="AE51" i="3" l="1"/>
  <c r="AD51" i="3"/>
  <c r="AC51" i="3"/>
  <c r="AB51" i="3"/>
  <c r="AE43" i="3"/>
  <c r="AD43" i="3"/>
  <c r="AC43" i="3"/>
  <c r="AB43" i="3"/>
  <c r="AE25" i="3"/>
  <c r="AD25" i="3"/>
  <c r="AC25" i="3"/>
  <c r="AB25" i="3"/>
  <c r="AE16" i="3"/>
  <c r="AD16" i="3"/>
  <c r="AC16" i="3"/>
  <c r="AB16" i="3"/>
  <c r="AB27" i="3" l="1"/>
  <c r="AE53" i="3"/>
  <c r="AE55" i="3" s="1"/>
  <c r="AE27" i="3"/>
  <c r="AD53" i="3"/>
  <c r="AD55" i="3" s="1"/>
  <c r="AD27" i="3"/>
  <c r="AC53" i="3"/>
  <c r="AC55" i="3" s="1"/>
  <c r="AC27" i="3"/>
  <c r="AB53" i="3"/>
  <c r="AB55" i="3" s="1"/>
  <c r="AA50" i="3" l="1"/>
  <c r="AA49" i="3"/>
  <c r="AA48" i="3"/>
  <c r="AA47" i="3"/>
  <c r="AA46" i="3"/>
  <c r="AA45" i="3"/>
  <c r="AA42" i="3"/>
  <c r="AA41" i="3"/>
  <c r="AA43" i="3" s="1"/>
  <c r="AA40" i="3"/>
  <c r="AA35" i="3"/>
  <c r="AA34" i="3"/>
  <c r="AA33" i="3"/>
  <c r="AA32" i="3"/>
  <c r="AA31" i="3"/>
  <c r="AA15" i="3"/>
  <c r="AA14" i="3"/>
  <c r="AA13" i="3"/>
  <c r="AA12" i="3"/>
  <c r="AA11" i="3"/>
  <c r="AA16" i="3" s="1"/>
  <c r="AA24" i="3"/>
  <c r="AA23" i="3"/>
  <c r="AA22" i="3"/>
  <c r="AA21" i="3"/>
  <c r="Z51" i="3"/>
  <c r="Z53" i="3" s="1"/>
  <c r="Z43" i="3"/>
  <c r="Z25" i="3"/>
  <c r="Z16" i="3"/>
  <c r="Y51" i="3"/>
  <c r="Y43" i="3"/>
  <c r="Y25" i="3"/>
  <c r="Y16" i="3"/>
  <c r="X51" i="3"/>
  <c r="X43" i="3"/>
  <c r="X25" i="3"/>
  <c r="X16" i="3"/>
  <c r="AA51" i="3" l="1"/>
  <c r="AA25" i="3"/>
  <c r="AA27" i="3" s="1"/>
  <c r="AA53" i="3"/>
  <c r="AA55" i="3" s="1"/>
  <c r="X55" i="3"/>
  <c r="Z55" i="3"/>
  <c r="Z27" i="3"/>
  <c r="Y53" i="3"/>
  <c r="Y55" i="3" s="1"/>
  <c r="Y27" i="3"/>
  <c r="X27" i="3"/>
  <c r="F43" i="3" l="1"/>
  <c r="F25" i="3"/>
  <c r="F16" i="3"/>
  <c r="F27" i="3" l="1"/>
  <c r="F53" i="3"/>
  <c r="F55" i="3" s="1"/>
  <c r="W42" i="3" l="1"/>
  <c r="W43" i="3" s="1"/>
  <c r="W50" i="3"/>
  <c r="W49" i="3"/>
  <c r="W48" i="3"/>
  <c r="W47" i="3"/>
  <c r="W46" i="3"/>
  <c r="W45" i="3"/>
  <c r="W41" i="3"/>
  <c r="W40" i="3"/>
  <c r="W35" i="3"/>
  <c r="W34" i="3"/>
  <c r="W33" i="3"/>
  <c r="W32" i="3"/>
  <c r="W31" i="3"/>
  <c r="W24" i="3"/>
  <c r="W23" i="3"/>
  <c r="W22" i="3"/>
  <c r="W21" i="3"/>
  <c r="W15" i="3"/>
  <c r="W14" i="3"/>
  <c r="W13" i="3"/>
  <c r="W12" i="3"/>
  <c r="W11" i="3"/>
  <c r="W16" i="3" s="1"/>
  <c r="V43" i="3"/>
  <c r="V25" i="3"/>
  <c r="V16" i="3"/>
  <c r="U51" i="3"/>
  <c r="U43" i="3"/>
  <c r="U25" i="3"/>
  <c r="U16" i="3"/>
  <c r="T51" i="3"/>
  <c r="T43" i="3"/>
  <c r="T25" i="3"/>
  <c r="T27" i="3" s="1"/>
  <c r="T16" i="3"/>
  <c r="W25" i="3" l="1"/>
  <c r="W27" i="3" s="1"/>
  <c r="V53" i="3"/>
  <c r="V55" i="3" s="1"/>
  <c r="V27" i="3"/>
  <c r="U53" i="3"/>
  <c r="U55" i="3" s="1"/>
  <c r="U27" i="3"/>
  <c r="T53" i="3"/>
  <c r="T55" i="3" s="1"/>
  <c r="S50" i="3"/>
  <c r="S49" i="3"/>
  <c r="S48" i="3"/>
  <c r="S51" i="3" s="1"/>
  <c r="S47" i="3"/>
  <c r="S46" i="3"/>
  <c r="S45" i="3"/>
  <c r="S43" i="3"/>
  <c r="S42" i="3"/>
  <c r="S41" i="3"/>
  <c r="S40" i="3"/>
  <c r="S35" i="3"/>
  <c r="S34" i="3"/>
  <c r="S33" i="3"/>
  <c r="S32" i="3"/>
  <c r="S31" i="3"/>
  <c r="S24" i="3"/>
  <c r="S23" i="3"/>
  <c r="S22" i="3"/>
  <c r="S25" i="3" s="1"/>
  <c r="S27" i="3" s="1"/>
  <c r="S21" i="3"/>
  <c r="S16" i="3"/>
  <c r="S15" i="3"/>
  <c r="S14" i="3"/>
  <c r="S13" i="3"/>
  <c r="S12" i="3"/>
  <c r="S11" i="3"/>
  <c r="R51" i="3"/>
  <c r="R43" i="3"/>
  <c r="R25" i="3"/>
  <c r="R16" i="3"/>
  <c r="Q51" i="3"/>
  <c r="Q43" i="3"/>
  <c r="Q25" i="3"/>
  <c r="Q16" i="3"/>
  <c r="P51" i="3"/>
  <c r="P43" i="3"/>
  <c r="P25" i="3"/>
  <c r="P27" i="3" s="1"/>
  <c r="P16" i="3"/>
  <c r="E51" i="3"/>
  <c r="E53" i="3" s="1"/>
  <c r="E55" i="3" s="1"/>
  <c r="E43" i="3"/>
  <c r="E25" i="3"/>
  <c r="E16" i="3"/>
  <c r="D43" i="3"/>
  <c r="D25" i="3"/>
  <c r="D16" i="3"/>
  <c r="E27" i="3" l="1"/>
  <c r="S53" i="3"/>
  <c r="S55" i="3" s="1"/>
  <c r="R53" i="3"/>
  <c r="R55" i="3" s="1"/>
  <c r="R27" i="3"/>
  <c r="Q53" i="3"/>
  <c r="Q55" i="3" s="1"/>
  <c r="Q27" i="3"/>
  <c r="P53" i="3"/>
  <c r="P55" i="3" s="1"/>
  <c r="D53" i="3"/>
  <c r="D55" i="3" s="1"/>
  <c r="D27" i="3"/>
  <c r="W51" i="3" l="1"/>
  <c r="W53" i="3" s="1"/>
  <c r="W55" i="3" s="1"/>
  <c r="BA51" i="3" l="1"/>
  <c r="BA53" i="3" s="1"/>
  <c r="AZ51" i="3"/>
  <c r="BA43" i="3"/>
  <c r="AZ43" i="3"/>
  <c r="BA25" i="3"/>
  <c r="BA27" i="3" s="1"/>
  <c r="AZ25" i="3"/>
  <c r="AZ16" i="3"/>
  <c r="BA16" i="3"/>
  <c r="AZ53" i="3" l="1"/>
  <c r="AZ27" i="3"/>
  <c r="BA55" i="3"/>
  <c r="AZ55" i="3"/>
  <c r="AR51" i="3"/>
  <c r="AR53" i="3" s="1"/>
  <c r="AR55" i="3" s="1"/>
  <c r="AR43" i="3"/>
  <c r="AR25" i="3"/>
  <c r="AR27" i="3" s="1"/>
  <c r="AR16" i="3"/>
  <c r="AW51" i="3" l="1"/>
  <c r="AW43" i="3"/>
  <c r="AW25" i="3"/>
  <c r="AW16" i="3"/>
  <c r="AW53" i="3" l="1"/>
  <c r="AW27" i="3"/>
  <c r="AW55" i="3"/>
  <c r="AQ51" i="3"/>
  <c r="AQ43" i="3"/>
  <c r="AQ50" i="3"/>
  <c r="AQ49" i="3"/>
  <c r="AQ48" i="3"/>
  <c r="AQ47" i="3"/>
  <c r="AQ46" i="3"/>
  <c r="AQ45" i="3"/>
  <c r="AQ42" i="3"/>
  <c r="AQ41" i="3"/>
  <c r="AQ40" i="3"/>
  <c r="AQ35" i="3"/>
  <c r="AQ34" i="3"/>
  <c r="AQ33" i="3"/>
  <c r="AQ32" i="3"/>
  <c r="AQ31" i="3"/>
  <c r="AQ24" i="3"/>
  <c r="AQ23" i="3"/>
  <c r="AQ22" i="3"/>
  <c r="AQ25" i="3" s="1"/>
  <c r="AQ21" i="3"/>
  <c r="AQ12" i="3"/>
  <c r="AQ13" i="3"/>
  <c r="AQ14" i="3"/>
  <c r="AQ15" i="3"/>
  <c r="AQ11" i="3"/>
  <c r="AP51" i="3"/>
  <c r="AP53" i="3" s="1"/>
  <c r="AP55" i="3" s="1"/>
  <c r="AP43" i="3"/>
  <c r="AP25" i="3"/>
  <c r="AP27" i="3" s="1"/>
  <c r="AQ16" i="3" l="1"/>
  <c r="AQ27" i="3" s="1"/>
  <c r="AQ53" i="3"/>
  <c r="AQ55" i="3" s="1"/>
  <c r="AY51" i="3" l="1"/>
  <c r="AY43" i="3"/>
  <c r="AY25" i="3"/>
  <c r="AY16" i="3"/>
  <c r="AY53" i="3" l="1"/>
  <c r="AY55" i="3" s="1"/>
  <c r="AY27" i="3"/>
  <c r="AO51" i="3"/>
  <c r="AO53" i="3" s="1"/>
  <c r="AO43" i="3"/>
  <c r="AO55" i="3" l="1"/>
  <c r="AX53" i="3"/>
  <c r="AX51" i="3"/>
  <c r="AX43" i="3"/>
  <c r="AX55" i="3"/>
  <c r="AX25" i="3"/>
  <c r="AX27" i="3" s="1"/>
  <c r="AX16" i="3"/>
  <c r="AN53" i="3" l="1"/>
  <c r="AN51" i="3"/>
  <c r="AN43" i="3"/>
  <c r="AN55" i="3"/>
  <c r="AN25" i="3"/>
  <c r="AN27" i="3" s="1"/>
  <c r="AO25" i="3" l="1"/>
  <c r="AP16" i="3"/>
  <c r="AN16" i="3"/>
  <c r="AO16" i="3"/>
  <c r="AO27" i="3" l="1"/>
  <c r="AL53" i="3"/>
  <c r="AL51" i="3"/>
  <c r="AL43" i="3"/>
  <c r="AL55" i="3"/>
  <c r="AL25" i="3"/>
  <c r="AL27" i="3" s="1"/>
  <c r="AL16" i="3"/>
  <c r="AJ51" i="3" l="1"/>
  <c r="AJ43" i="3"/>
  <c r="AJ25" i="3"/>
  <c r="AJ27" i="3" s="1"/>
  <c r="AJ16" i="3"/>
  <c r="AJ53" i="3" l="1"/>
  <c r="AJ55" i="3" s="1"/>
  <c r="AF51" i="3" l="1"/>
  <c r="AF53" i="3" s="1"/>
  <c r="AF55" i="3" s="1"/>
  <c r="AF43" i="3"/>
  <c r="AF25" i="3"/>
  <c r="AF27" i="3" s="1"/>
  <c r="AF16" i="3" l="1"/>
  <c r="AM43" i="3" l="1"/>
  <c r="AM50" i="3"/>
  <c r="AM49" i="3"/>
  <c r="AM48" i="3"/>
  <c r="AM51" i="3" s="1"/>
  <c r="AM47" i="3"/>
  <c r="AM46" i="3"/>
  <c r="AM45" i="3"/>
  <c r="AM42" i="3"/>
  <c r="AM41" i="3"/>
  <c r="AM40" i="3"/>
  <c r="AM35" i="3"/>
  <c r="AM34" i="3"/>
  <c r="AM33" i="3"/>
  <c r="AM32" i="3"/>
  <c r="AM31" i="3"/>
  <c r="AM24" i="3"/>
  <c r="AM23" i="3"/>
  <c r="AM22" i="3"/>
  <c r="AM25" i="3" s="1"/>
  <c r="AM21" i="3"/>
  <c r="AM12" i="3"/>
  <c r="AM16" i="3" s="1"/>
  <c r="AM13" i="3"/>
  <c r="AM14" i="3"/>
  <c r="AM15" i="3"/>
  <c r="AM11" i="3"/>
  <c r="AK53" i="3"/>
  <c r="AK51" i="3"/>
  <c r="AK43" i="3"/>
  <c r="AK55" i="3"/>
  <c r="AK25" i="3"/>
  <c r="AK27" i="3" s="1"/>
  <c r="AK16" i="3"/>
  <c r="AI53" i="3"/>
  <c r="AI43" i="3"/>
  <c r="AI51" i="3"/>
  <c r="AI50" i="3"/>
  <c r="AI49" i="3"/>
  <c r="AI48" i="3"/>
  <c r="AI47" i="3"/>
  <c r="AI46" i="3"/>
  <c r="AI45" i="3"/>
  <c r="AI42" i="3"/>
  <c r="AI41" i="3"/>
  <c r="AI40" i="3"/>
  <c r="AI35" i="3"/>
  <c r="AI34" i="3"/>
  <c r="AI55" i="3" s="1"/>
  <c r="AI33" i="3"/>
  <c r="AI32" i="3"/>
  <c r="AI31" i="3"/>
  <c r="AI25" i="3"/>
  <c r="AI24" i="3"/>
  <c r="AI23" i="3"/>
  <c r="AI22" i="3"/>
  <c r="AI21" i="3"/>
  <c r="AI15" i="3"/>
  <c r="AI16" i="3" s="1"/>
  <c r="AI14" i="3"/>
  <c r="AI13" i="3"/>
  <c r="AI12" i="3"/>
  <c r="AI11" i="3"/>
  <c r="AH53" i="3"/>
  <c r="AH51" i="3"/>
  <c r="AH43" i="3"/>
  <c r="AH55" i="3"/>
  <c r="AH25" i="3"/>
  <c r="AH27" i="3" s="1"/>
  <c r="AH16" i="3"/>
  <c r="AH15" i="3"/>
  <c r="AG53" i="3"/>
  <c r="AG51" i="3"/>
  <c r="AG43" i="3"/>
  <c r="AG55" i="3"/>
  <c r="AG25" i="3"/>
  <c r="AG27" i="3" s="1"/>
  <c r="AG16" i="3"/>
  <c r="AG15" i="3"/>
  <c r="G16" i="3"/>
  <c r="J53" i="3"/>
  <c r="J51" i="3"/>
  <c r="J43" i="3"/>
  <c r="J55" i="3"/>
  <c r="J25" i="3"/>
  <c r="J16" i="3"/>
  <c r="M53" i="3"/>
  <c r="M51" i="3"/>
  <c r="M55" i="3"/>
  <c r="M25" i="3"/>
  <c r="I51" i="3"/>
  <c r="I53" i="3" s="1"/>
  <c r="I43" i="3"/>
  <c r="I25" i="3"/>
  <c r="I16" i="3"/>
  <c r="H53" i="3"/>
  <c r="G53" i="3"/>
  <c r="G51" i="3"/>
  <c r="H51" i="3"/>
  <c r="H43" i="3"/>
  <c r="G43" i="3"/>
  <c r="H55" i="3"/>
  <c r="G55" i="3"/>
  <c r="H25" i="3"/>
  <c r="G25" i="3"/>
  <c r="G27" i="3" s="1"/>
  <c r="H16" i="3"/>
  <c r="AI27" i="3" l="1"/>
  <c r="I27" i="3"/>
  <c r="J27" i="3"/>
  <c r="I55" i="3"/>
  <c r="H27" i="3"/>
  <c r="AM27" i="3"/>
  <c r="AM53" i="3"/>
  <c r="AM55" i="3" s="1"/>
  <c r="K7" i="7" l="1"/>
  <c r="K6" i="7"/>
  <c r="N7" i="7"/>
  <c r="N6" i="7"/>
  <c r="N6" i="6"/>
  <c r="BA6" i="3"/>
  <c r="BB6" i="3" s="1"/>
  <c r="BC6" i="3" s="1"/>
  <c r="BD6" i="3" s="1"/>
  <c r="N7" i="3"/>
  <c r="K7" i="3"/>
  <c r="B2" i="3" l="1"/>
  <c r="B2" i="4"/>
  <c r="B2" i="6"/>
  <c r="B2" i="8"/>
  <c r="G7" i="8"/>
  <c r="H7" i="8" s="1"/>
  <c r="I7" i="8" s="1"/>
  <c r="J11" i="7"/>
  <c r="J13" i="7"/>
  <c r="B2" i="7"/>
  <c r="H7" i="7"/>
  <c r="I7" i="7" s="1"/>
  <c r="M7" i="7" s="1"/>
  <c r="J7" i="7" s="1"/>
  <c r="G7" i="7"/>
  <c r="U6" i="7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M6" i="7"/>
  <c r="AW6" i="7" s="1"/>
  <c r="G6" i="7"/>
  <c r="H6" i="7" s="1"/>
  <c r="G7" i="6"/>
  <c r="H7" i="6" s="1"/>
  <c r="I7" i="6" s="1"/>
  <c r="M7" i="6" s="1"/>
  <c r="J7" i="6" s="1"/>
  <c r="N7" i="6" s="1"/>
  <c r="K7" i="6" s="1"/>
  <c r="U6" i="6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M6" i="6"/>
  <c r="AW6" i="6" s="1"/>
  <c r="G6" i="6"/>
  <c r="H6" i="6" s="1"/>
  <c r="AW6" i="3"/>
  <c r="P6" i="3"/>
  <c r="AW6" i="4"/>
  <c r="G7" i="4"/>
  <c r="H7" i="4" s="1"/>
  <c r="I7" i="4" s="1"/>
  <c r="M7" i="4" s="1"/>
  <c r="J7" i="4" s="1"/>
  <c r="N7" i="4" s="1"/>
  <c r="K7" i="4" s="1"/>
  <c r="U6" i="4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X6" i="4" s="1"/>
  <c r="AY6" i="4" s="1"/>
  <c r="AZ6" i="4" s="1"/>
  <c r="G6" i="4"/>
  <c r="H6" i="4" s="1"/>
  <c r="J6" i="4" s="1"/>
  <c r="P6" i="4" s="1"/>
  <c r="G7" i="3"/>
  <c r="H7" i="3" s="1"/>
  <c r="I7" i="3" s="1"/>
  <c r="U6" i="3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G6" i="3"/>
  <c r="H6" i="3" s="1"/>
  <c r="BA6" i="4" l="1"/>
  <c r="BB6" i="4" s="1"/>
  <c r="BC6" i="4" s="1"/>
  <c r="BD6" i="4" s="1"/>
  <c r="AN6" i="3"/>
  <c r="AO6" i="3" s="1"/>
  <c r="AP6" i="3" s="1"/>
  <c r="AQ6" i="3" s="1"/>
  <c r="AX6" i="7"/>
  <c r="AY6" i="7" s="1"/>
  <c r="AZ6" i="7" s="1"/>
  <c r="BA6" i="7"/>
  <c r="BB6" i="7" s="1"/>
  <c r="BC6" i="7" s="1"/>
  <c r="BD6" i="7" s="1"/>
  <c r="AX6" i="6"/>
  <c r="AY6" i="6" s="1"/>
  <c r="AZ6" i="6" s="1"/>
  <c r="BA6" i="6"/>
  <c r="BB6" i="6" s="1"/>
  <c r="BC6" i="6" s="1"/>
  <c r="BD6" i="6" s="1"/>
  <c r="T6" i="7"/>
  <c r="J6" i="7"/>
  <c r="I6" i="7"/>
  <c r="P6" i="7" s="1"/>
  <c r="Q6" i="7" s="1"/>
  <c r="R6" i="7" s="1"/>
  <c r="S6" i="7" s="1"/>
  <c r="T6" i="6"/>
  <c r="I6" i="6"/>
  <c r="J6" i="6"/>
  <c r="AX6" i="3"/>
  <c r="AY6" i="3" s="1"/>
  <c r="AZ6" i="3" s="1"/>
  <c r="I6" i="4"/>
  <c r="T6" i="4"/>
  <c r="I6" i="3"/>
  <c r="T6" i="3"/>
  <c r="P6" i="6" l="1"/>
  <c r="Q6" i="6" s="1"/>
  <c r="R6" i="6" s="1"/>
  <c r="S6" i="6" s="1"/>
  <c r="K6" i="6"/>
  <c r="Q6" i="3"/>
  <c r="R6" i="3" s="1"/>
  <c r="S6" i="3" s="1"/>
  <c r="K6" i="3"/>
  <c r="Q6" i="4"/>
  <c r="R6" i="4" s="1"/>
  <c r="S6" i="4" s="1"/>
  <c r="K6" i="4"/>
  <c r="P18" i="8" l="1"/>
  <c r="D9" i="8"/>
</calcChain>
</file>

<file path=xl/sharedStrings.xml><?xml version="1.0" encoding="utf-8"?>
<sst xmlns="http://schemas.openxmlformats.org/spreadsheetml/2006/main" count="727" uniqueCount="192">
  <si>
    <t>Contents</t>
  </si>
  <si>
    <t>Consolidated Statement of Profit or Loss</t>
  </si>
  <si>
    <t>Consolidated Statement of Financial Position</t>
  </si>
  <si>
    <t>Consolidated Statement of Cash Flows</t>
  </si>
  <si>
    <t>Selling, General and Administrative Expenses (SG&amp;A)</t>
  </si>
  <si>
    <t>EBITDA</t>
  </si>
  <si>
    <t>Debt Structure</t>
  </si>
  <si>
    <t>DATA BOOK</t>
  </si>
  <si>
    <t>Russian Ruble (RUB), million</t>
  </si>
  <si>
    <t>IAS 17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</si>
  <si>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</si>
  <si>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</si>
  <si>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</si>
  <si>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</si>
  <si>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</si>
  <si>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</si>
  <si>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</si>
  <si>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</si>
  <si>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</si>
  <si>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</si>
  <si>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</si>
  <si>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</si>
  <si>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</si>
  <si>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</si>
  <si>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</si>
  <si>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</si>
  <si>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</si>
  <si>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</si>
  <si>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</si>
  <si>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</si>
  <si>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Revenue</t>
  </si>
  <si>
    <t>Selling general and administrative expenses</t>
  </si>
  <si>
    <t>Depreciation and amortization</t>
  </si>
  <si>
    <t>Other operating (expenses)/income net</t>
  </si>
  <si>
    <t>Income tax expense</t>
  </si>
  <si>
    <t>Q1 2012</t>
  </si>
  <si>
    <t>Q2 2012</t>
  </si>
  <si>
    <t>Q3 2012</t>
  </si>
  <si>
    <t>Q4 2012</t>
  </si>
  <si>
    <t>Cost of sales</t>
  </si>
  <si>
    <t>Gross profit</t>
  </si>
  <si>
    <t>Operating profit</t>
  </si>
  <si>
    <t>Finance income</t>
  </si>
  <si>
    <t>Finance expense</t>
  </si>
  <si>
    <t>Foreign exchange gain/(loss), net</t>
  </si>
  <si>
    <t>Profit before tax</t>
  </si>
  <si>
    <t>Profit for the year</t>
  </si>
  <si>
    <t>Q1 2018</t>
  </si>
  <si>
    <t>Q2 2018</t>
  </si>
  <si>
    <t>Q3 2018</t>
  </si>
  <si>
    <t>Q4 2018</t>
  </si>
  <si>
    <t>ASSETS</t>
  </si>
  <si>
    <t>Cash and cash equivalents</t>
  </si>
  <si>
    <t>Trade receivable, net</t>
  </si>
  <si>
    <t>Inventories</t>
  </si>
  <si>
    <t>Total current assets</t>
  </si>
  <si>
    <t>Other non-current assets</t>
  </si>
  <si>
    <t>Deferred tax assets</t>
  </si>
  <si>
    <t>Total non-current assets</t>
  </si>
  <si>
    <t>Trade payable</t>
  </si>
  <si>
    <t>Total current liabilities</t>
  </si>
  <si>
    <t>Long-term debt</t>
  </si>
  <si>
    <t>Deferred tax liabilities</t>
  </si>
  <si>
    <t>Share capital</t>
  </si>
  <si>
    <t>Additional paid-in capital</t>
  </si>
  <si>
    <t>Treasury stock</t>
  </si>
  <si>
    <t>Total assets</t>
  </si>
  <si>
    <t>EQUITY</t>
  </si>
  <si>
    <t>LIABILITIES</t>
  </si>
  <si>
    <t>Accumulated deficit</t>
  </si>
  <si>
    <t>Currency translation reserve</t>
  </si>
  <si>
    <t>Total equity/(equity deficit)</t>
  </si>
  <si>
    <t>Lease liabilities</t>
  </si>
  <si>
    <t>Long-term loans and borrowings</t>
  </si>
  <si>
    <t>Total non-current liabilities</t>
  </si>
  <si>
    <t>Advances received, other payables and accrued expenses</t>
  </si>
  <si>
    <t>Deferred revenue</t>
  </si>
  <si>
    <t>Income tax payable</t>
  </si>
  <si>
    <t>Total liabilities</t>
  </si>
  <si>
    <t>Total liabilities and equity</t>
  </si>
  <si>
    <t xml:space="preserve">Short-term loans and borrowings and current portion
of long-term loans and borrowings </t>
  </si>
  <si>
    <t>Intangible assets</t>
  </si>
  <si>
    <t>Right-of-use assets</t>
  </si>
  <si>
    <t>Advances paid and other receivables</t>
  </si>
  <si>
    <t>Prepaid income tax</t>
  </si>
  <si>
    <t>Property, plant and equipment</t>
  </si>
  <si>
    <t>Operating activities</t>
  </si>
  <si>
    <t>Adjustments for:</t>
  </si>
  <si>
    <t>Depreciation and amortization expense</t>
  </si>
  <si>
    <t xml:space="preserve">Write-offs of merchandise inventories relating to shrinkage and write-down to net realizable value </t>
  </si>
  <si>
    <t>Income tax expense recognized in profit or loss</t>
  </si>
  <si>
    <t>Expense on equity-settled share-based compensation</t>
  </si>
  <si>
    <t>Bad debts written-off and change in allowance for doubtful accounts</t>
  </si>
  <si>
    <t>(Gain)/loss on disposal of non-current assets</t>
  </si>
  <si>
    <t>Foreign exchange (gain)/loss, net</t>
  </si>
  <si>
    <t>Changes in working capital:</t>
  </si>
  <si>
    <t>(Increase)/decrease in trade receivables</t>
  </si>
  <si>
    <t>(Increase)/decrease in advances paid and other receivables</t>
  </si>
  <si>
    <t>Increase in inventories</t>
  </si>
  <si>
    <t>Increase/(decrease) in trade payables</t>
  </si>
  <si>
    <t>Increase in advances received, other payables and accrued expenses</t>
  </si>
  <si>
    <t>Increase/(decrease) in deferred revenue</t>
  </si>
  <si>
    <t>Interest paid</t>
  </si>
  <si>
    <t>Interest received</t>
  </si>
  <si>
    <t>Income tax paid</t>
  </si>
  <si>
    <t>Net cash generated by operating activities</t>
  </si>
  <si>
    <t>Investing activities:</t>
  </si>
  <si>
    <t>Payments for property, plant and equipment</t>
  </si>
  <si>
    <t>Payments for intangible assets</t>
  </si>
  <si>
    <t>Repayment of loans receivable</t>
  </si>
  <si>
    <t>Proceeds from disposal of property, plant and equipment</t>
  </si>
  <si>
    <t>Net cash used in investing activities</t>
  </si>
  <si>
    <t>Financing activities:</t>
  </si>
  <si>
    <t>Purchase of treasury shares</t>
  </si>
  <si>
    <t>Sale of treasury shares</t>
  </si>
  <si>
    <t>Repayment of loans and borrowings</t>
  </si>
  <si>
    <t>Dividends paid</t>
  </si>
  <si>
    <t>Lease payments</t>
  </si>
  <si>
    <t>Proceeds from loans and borrowings</t>
  </si>
  <si>
    <t>Net cash used in financing activities</t>
  </si>
  <si>
    <t>NET INCREASE IN CASH AND CASH EQUIVALENTS</t>
  </si>
  <si>
    <t>CASH AND CASH EQUIVALENTS, beginning of the year</t>
  </si>
  <si>
    <t>CASH AND CASH EQUIVALENTS, end of the year</t>
  </si>
  <si>
    <t>IFRS 16</t>
  </si>
  <si>
    <t>Payroll</t>
  </si>
  <si>
    <t>Rent and utility</t>
  </si>
  <si>
    <t>Advertising and marketing</t>
  </si>
  <si>
    <t>Other</t>
  </si>
  <si>
    <t>Total debt</t>
  </si>
  <si>
    <t>Short-term debt</t>
  </si>
  <si>
    <t>% in total</t>
  </si>
  <si>
    <t>Net debt</t>
  </si>
  <si>
    <t>Net debt / EBITDA</t>
  </si>
  <si>
    <t>Profit for the period</t>
  </si>
  <si>
    <t>Add / (deduct):</t>
  </si>
  <si>
    <t>Profit from taking control in the subsidiary</t>
  </si>
  <si>
    <t>Foreign exchange loss</t>
  </si>
  <si>
    <t>Depreciation and amortisation</t>
  </si>
  <si>
    <t>Reverse effect of</t>
  </si>
  <si>
    <t>Additional bonus accruals under the LTI program \ (Income received from partial termination of employees’ right to receive shares under the LTI program)</t>
  </si>
  <si>
    <t>Adjusted EBITDA</t>
  </si>
  <si>
    <t>EBITDA and Adjusted EBITDA</t>
  </si>
  <si>
    <t>Net Debt / adjusted EBITDA</t>
  </si>
  <si>
    <t xml:space="preserve">Operating Results </t>
  </si>
  <si>
    <t>Number of stores</t>
  </si>
  <si>
    <t>Sales</t>
  </si>
  <si>
    <t>Total Revenue</t>
  </si>
  <si>
    <t>Detsky Mir in Russia</t>
  </si>
  <si>
    <t>Detsky Mir in Kazakhstan</t>
  </si>
  <si>
    <t>Other*</t>
  </si>
  <si>
    <t># of tickets</t>
  </si>
  <si>
    <t>Average ticket</t>
  </si>
  <si>
    <t>Detsky Mir in Belarus</t>
  </si>
  <si>
    <t>ELC &amp; ABC</t>
  </si>
  <si>
    <t>Zoozavr</t>
  </si>
  <si>
    <t>*ELC, ABC, Zoozavr stores as well as Detmir retail chain in Belarus</t>
  </si>
  <si>
    <t>Note:</t>
  </si>
  <si>
    <t>Unit</t>
  </si>
  <si>
    <t>RUB mn</t>
  </si>
  <si>
    <t>#</t>
  </si>
  <si>
    <t xml:space="preserve">Total Selling space </t>
  </si>
  <si>
    <t>k sq.m.</t>
  </si>
  <si>
    <t>%</t>
  </si>
  <si>
    <t>Detsky Mir in Russia (incl. online)</t>
  </si>
  <si>
    <t>Total Online Revenue</t>
  </si>
  <si>
    <t>In-store pickup</t>
  </si>
  <si>
    <t>Direct delivery</t>
  </si>
  <si>
    <t>Q1 2019</t>
  </si>
  <si>
    <t>Q2 2019</t>
  </si>
  <si>
    <t>Q3 2019</t>
  </si>
  <si>
    <t>Q4 2019</t>
  </si>
  <si>
    <t>SG&amp;A (excl. D&amp;A and LTI)</t>
  </si>
  <si>
    <t>Additional bonus accruals under the LTI program</t>
  </si>
  <si>
    <t>GAAP</t>
  </si>
  <si>
    <t>Dividends received</t>
  </si>
  <si>
    <t>Cash received from disposal of subsidiary</t>
  </si>
  <si>
    <t>Impairment recognized for non-current assets, except goodwill</t>
  </si>
  <si>
    <t>Share-based compensation</t>
  </si>
  <si>
    <t>Cash directed to/from acquisition of controlling interest in associate</t>
  </si>
  <si>
    <t>IFRS</t>
  </si>
  <si>
    <t>Cash</t>
  </si>
  <si>
    <t xml:space="preserve">Starting from January 1, 2013, calculation of like-for-like average growth, like-for-like number of tickets growth and like-for-like revenue growth is based on stores in operation for at least 12 full calendar months. Calculation of like-for-like growth is based on stores in operation for one full prior calendar year (till January 1, 2015). </t>
  </si>
  <si>
    <t>Q1 2020</t>
  </si>
  <si>
    <t>Q2 2020</t>
  </si>
  <si>
    <t>Q3 2020</t>
  </si>
  <si>
    <t>Q4 2020</t>
  </si>
  <si>
    <t>-</t>
  </si>
  <si>
    <t>LFL - DM Kazakhstan (Tenge)</t>
  </si>
  <si>
    <t>LFL - DM Russian and Kazakhstan (RUB)</t>
  </si>
  <si>
    <t>LFL - DM Russia (RUB)</t>
  </si>
  <si>
    <t>restated</t>
  </si>
  <si>
    <t xml:space="preserve">Detmir.ru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</si>
</sst>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(* #,##0_);_(* \(#,##0\);_(* &quot;-&quot;_);_(@_)"/>
    <numFmt numFmtId="165" formatCode="_(* #,##0.0_);_(* \(#,##0.0\);_(* &quot;-&quot;_);_(@_)"/>
    <numFmt numFmtId="166" formatCode="0.0%"/>
    <numFmt numFmtId="167" formatCode="_-* #,##0\ _₽_-;\-* #,##0\ _₽_-;_-* &quot;-&quot;??\ _₽_-;_-@_-"/>
    <numFmt numFmtId="168" formatCode="_(* #,##0.00_);_(* \(#,##0.00\);_(* &quot;-&quot;_);_(@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_-* #,##0.00_р_._-;\-* #,##0.00_р_._-;_-* &quot;-&quot;??_р_._-;_-@_-"/>
    <numFmt numFmtId="173" formatCode="\£\ #,##0_);[Red]\(\£\ #,##0\)"/>
    <numFmt numFmtId="174" formatCode="\¥\ #,##0_);[Red]\(\¥\ #,##0\)"/>
    <numFmt numFmtId="175" formatCode="#,##0;\(#,##0\)"/>
    <numFmt numFmtId="176" formatCode="#,##0.0;\(#,##0.0\)"/>
    <numFmt numFmtId="177" formatCode="#,##0.00;\(#,##0.00\)"/>
    <numFmt numFmtId="178" formatCode="_(* #,##0_);_(* \(#,##0\);_(* &quot;-&quot;??_);_(@_)"/>
    <numFmt numFmtId="179" formatCode="\•\ \ @"/>
    <numFmt numFmtId="180" formatCode="&quot;error&quot;;&quot;error&quot;;&quot;OK&quot;;&quot;  &quot;@"/>
    <numFmt numFmtId="181" formatCode="#,##0_%_);\(#,##0\)_%"/>
    <numFmt numFmtId="182" formatCode="#,##0.00_%_);\(#,##0.00\)_%"/>
    <numFmt numFmtId="183" formatCode="#,##0.00_%_);\(#,##0.00\)_%;**;@_%_)"/>
    <numFmt numFmtId="184" formatCode="General_)"/>
    <numFmt numFmtId="185" formatCode="#,##0.0;[Red]\(#,##0.0\)"/>
    <numFmt numFmtId="186" formatCode="#,##0;[Red]\(#,##0\)"/>
    <numFmt numFmtId="187" formatCode="&quot;$&quot;#,##0.00_%_);\(&quot;$&quot;#,##0.00\)_%"/>
    <numFmt numFmtId="188" formatCode="mmmm\-yy"/>
    <numFmt numFmtId="189" formatCode="\ \ _•\–\ \ \ \ @"/>
    <numFmt numFmtId="190" formatCode="dd\ mmm\ yyyy_);;;&quot;  &quot;@"/>
    <numFmt numFmtId="191" formatCode="#,##0_);\(#,##0\);&quot;- &quot;;&quot;  &quot;@"/>
    <numFmt numFmtId="192" formatCode="_-* #,##0_-;\-* #,##0_-;_-* &quot;-&quot;_-;_-@_-"/>
    <numFmt numFmtId="193" formatCode="_-* #,##0.00_-;\-* #,##0.00_-;_-* &quot;-&quot;??_-;_-@_-"/>
    <numFmt numFmtId="194" formatCode="&quot;$&quot;#,##0.0;[Red]\(&quot;$&quot;#,##0.0\)"/>
    <numFmt numFmtId="195" formatCode="_-* #,##0.00[$€-1]_-;\-* #,##0.00[$€-1]_-;_-* &quot;-&quot;??[$€-1]_-"/>
    <numFmt numFmtId="196" formatCode="#,##0.0000_);\(#,##0.0000\);&quot;- &quot;;&quot;  &quot;@"/>
    <numFmt numFmtId="197" formatCode="&quot;$&quot;#,##0.0_%_);\(&quot;$&quot;#,##0.0\)_%"/>
    <numFmt numFmtId="198" formatCode="0.0\x_)_);&quot;NM    &quot;;0.0\x_)_)"/>
    <numFmt numFmtId="199" formatCode="0.0%_);\(0.0%\)"/>
    <numFmt numFmtId="200" formatCode="&quot;$&quot;#.#"/>
    <numFmt numFmtId="201" formatCode="#,##0.00\ ;\(#,##0.00\)"/>
    <numFmt numFmtId="202" formatCode="###,000"/>
    <numFmt numFmtId="203" formatCode="0_%_);\(0\)_%;0_%_);@_%_)"/>
    <numFmt numFmtId="204" formatCode="#,##0.0_%_);\(#,##0.0\)_%"/>
    <numFmt numFmtId="205" formatCode="&quot;$&quot;#,##0.0000_);[Red]\(&quot;$&quot;#,##0.0000\)"/>
    <numFmt numFmtId="206" formatCode="_(&quot;$&quot;* #,##0.0_);_(&quot;$&quot;* \(#,##0.0\);_(&quot;$&quot;* &quot;-&quot;??_);_(@_)"/>
    <numFmt numFmtId="207" formatCode=";;&quot;zero&quot;;&quot;  &quot;@"/>
    <numFmt numFmtId="208" formatCode="mmm\ yy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irce Rounded  2"/>
      <family val="2"/>
    </font>
    <font>
      <sz val="22"/>
      <color theme="0"/>
      <name val="Arial"/>
      <family val="2"/>
      <charset val="204"/>
    </font>
    <font>
      <sz val="26"/>
      <color rgb="FF0070C0"/>
      <name val="Circe Rounded DM Extra Bold"/>
      <family val="2"/>
      <charset val="204"/>
    </font>
    <font>
      <b/>
      <sz val="11"/>
      <color theme="1"/>
      <name val="Circe Rounded  2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Circe Rounded  2"/>
      <family val="2"/>
    </font>
    <font>
      <sz val="11"/>
      <color indexed="8"/>
      <name val="Circe Rounded  2"/>
      <family val="2"/>
    </font>
    <font>
      <b/>
      <sz val="11"/>
      <color indexed="8"/>
      <name val="Circe Rounded  2"/>
      <family val="2"/>
    </font>
    <font>
      <b/>
      <sz val="11"/>
      <name val="Circe Rounded  2"/>
      <family val="2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irce Rounded  2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irce Rounded  2"/>
      <family val="2"/>
    </font>
    <font>
      <sz val="11"/>
      <color rgb="FF00B05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12"/>
      <name val="Times New Roman"/>
      <family val="1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8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Book Antiqua"/>
      <family val="1"/>
    </font>
    <font>
      <sz val="8"/>
      <color indexed="12"/>
      <name val="Tms Rmn"/>
    </font>
    <font>
      <b/>
      <sz val="12"/>
      <name val="Times New Roman"/>
      <family val="1"/>
    </font>
    <font>
      <sz val="10"/>
      <color indexed="18"/>
      <name val="Times New Roman"/>
      <family val="1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0"/>
      <name val="BERNHARD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8"/>
      <color indexed="8"/>
      <name val="MS Sans Serif"/>
      <family val="2"/>
      <charset val="204"/>
    </font>
    <font>
      <b/>
      <sz val="10"/>
      <name val="Arial"/>
      <family val="2"/>
    </font>
    <font>
      <sz val="1"/>
      <color indexed="8"/>
      <name val="Courier"/>
      <family val="1"/>
      <charset val="204"/>
    </font>
    <font>
      <sz val="8"/>
      <name val="Tms Rmn"/>
    </font>
    <font>
      <b/>
      <sz val="1"/>
      <color indexed="8"/>
      <name val="Courier"/>
      <family val="1"/>
      <charset val="204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Arial"/>
      <family val="2"/>
    </font>
    <font>
      <sz val="8"/>
      <name val="Arial"/>
      <family val="2"/>
      <charset val="238"/>
    </font>
    <font>
      <sz val="12"/>
      <color indexed="9"/>
      <name val="Times New Roman"/>
      <family val="1"/>
    </font>
    <font>
      <sz val="6"/>
      <name val="Palatino"/>
      <family val="1"/>
    </font>
    <font>
      <i/>
      <sz val="11"/>
      <name val="Helv"/>
    </font>
    <font>
      <b/>
      <sz val="12"/>
      <name val="Arial"/>
      <family val="2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6"/>
      <name val="Palatino"/>
      <family val="1"/>
    </font>
    <font>
      <b/>
      <sz val="22"/>
      <color indexed="16"/>
      <name val="Arial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sz val="8"/>
      <name val="Helv"/>
      <charset val="204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i/>
      <sz val="8"/>
      <name val="Times New Roman"/>
      <family val="1"/>
    </font>
    <font>
      <b/>
      <sz val="10"/>
      <name val="Palatino"/>
      <family val="1"/>
    </font>
    <font>
      <b/>
      <sz val="9"/>
      <name val="Palatino"/>
      <family val="1"/>
    </font>
    <font>
      <sz val="12"/>
      <name val="Palatino"/>
      <family val="1"/>
    </font>
    <font>
      <sz val="11"/>
      <name val="Helvetica-Black"/>
    </font>
    <font>
      <sz val="10"/>
      <color indexed="10"/>
      <name val="Arial"/>
      <family val="2"/>
    </font>
    <font>
      <b/>
      <sz val="8"/>
      <name val="Palatino"/>
      <family val="1"/>
    </font>
    <font>
      <sz val="10"/>
      <name val="Times New Roman Cyr"/>
      <charset val="204"/>
    </font>
    <font>
      <sz val="8"/>
      <name val="Garamond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8"/>
      <color rgb="FF00CC00"/>
      <name val="Verdana"/>
      <family val="2"/>
      <charset val="204"/>
    </font>
    <font>
      <b/>
      <sz val="8"/>
      <color rgb="FFFF9900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36"/>
      <color rgb="FF0072FF"/>
      <name val="Circe Rounded DM Extra Bold"/>
      <family val="2"/>
      <charset val="204"/>
    </font>
    <font>
      <sz val="16"/>
      <color rgb="FF0072FF"/>
      <name val="Circe Rounded DM Extra Bold"/>
      <family val="2"/>
      <charset val="204"/>
    </font>
    <font>
      <sz val="26"/>
      <color rgb="FF0072FF"/>
      <name val="Circe Rounded DM Extra Bold"/>
      <family val="2"/>
      <charset val="204"/>
    </font>
    <font>
      <sz val="12"/>
      <color rgb="FF0072FF"/>
      <name val="Circe Rounded  2"/>
      <family val="2"/>
    </font>
    <font>
      <sz val="11"/>
      <color rgb="FF0072FF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rgb="FF000000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2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881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10" fontId="25" fillId="0" borderId="0"/>
    <xf numFmtId="9" fontId="26" fillId="0" borderId="0"/>
    <xf numFmtId="0" fontId="26" fillId="0" borderId="0"/>
    <xf numFmtId="10" fontId="26" fillId="0" borderId="0"/>
    <xf numFmtId="0" fontId="27" fillId="0" borderId="0"/>
    <xf numFmtId="0" fontId="9" fillId="2" borderId="0" applyNumberFormat="0" applyFont="0" applyAlignment="0" applyProtection="0"/>
    <xf numFmtId="0" fontId="28" fillId="0" borderId="13" applyNumberFormat="0" applyFill="0" applyProtection="0">
      <alignment horizontal="center"/>
    </xf>
    <xf numFmtId="0" fontId="28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centerContinuous"/>
    </xf>
    <xf numFmtId="0" fontId="9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1" fillId="0" borderId="0"/>
    <xf numFmtId="175" fontId="32" fillId="0" borderId="0"/>
    <xf numFmtId="0" fontId="33" fillId="0" borderId="14" applyFont="0" applyFill="0" applyBorder="0" applyAlignment="0" applyProtection="0"/>
    <xf numFmtId="176" fontId="34" fillId="0" borderId="0" applyFont="0" applyAlignment="0" applyProtection="0">
      <protection locked="0" hidden="1"/>
    </xf>
    <xf numFmtId="0" fontId="35" fillId="3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177" fontId="34" fillId="0" borderId="0" applyFill="0" applyBorder="0" applyProtection="0">
      <alignment horizontal="right"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178" fontId="38" fillId="18" borderId="15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0" fillId="0" borderId="0"/>
    <xf numFmtId="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6" fillId="0" borderId="0"/>
    <xf numFmtId="38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0" fillId="0" borderId="9"/>
    <xf numFmtId="0" fontId="32" fillId="0" borderId="16">
      <alignment horizontal="centerContinuous"/>
    </xf>
    <xf numFmtId="0" fontId="32" fillId="0" borderId="16">
      <alignment horizontal="centerContinuous"/>
    </xf>
    <xf numFmtId="0" fontId="9" fillId="0" borderId="12" applyBorder="0">
      <alignment horizontal="centerContinuous"/>
    </xf>
    <xf numFmtId="179" fontId="26" fillId="0" borderId="0" applyFont="0" applyFill="0" applyBorder="0" applyAlignment="0" applyProtection="0"/>
    <xf numFmtId="0" fontId="23" fillId="0" borderId="0"/>
    <xf numFmtId="0" fontId="25" fillId="0" borderId="0"/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right"/>
    </xf>
    <xf numFmtId="37" fontId="32" fillId="0" borderId="0">
      <alignment horizontal="center"/>
    </xf>
    <xf numFmtId="0" fontId="39" fillId="0" borderId="0"/>
    <xf numFmtId="1" fontId="44" fillId="0" borderId="0"/>
    <xf numFmtId="180" fontId="10" fillId="0" borderId="0" applyFont="0" applyFill="0" applyBorder="0" applyAlignment="0" applyProtection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45" fillId="0" borderId="0"/>
    <xf numFmtId="169" fontId="45" fillId="0" borderId="0"/>
    <xf numFmtId="169" fontId="45" fillId="0" borderId="0"/>
    <xf numFmtId="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0" borderId="0" applyFill="0" applyBorder="0" applyProtection="0"/>
    <xf numFmtId="182" fontId="47" fillId="0" borderId="0" applyFill="0" applyBorder="0" applyProtection="0">
      <alignment horizontal="right"/>
    </xf>
    <xf numFmtId="183" fontId="47" fillId="0" borderId="0" applyFont="0" applyFill="0" applyBorder="0" applyAlignment="0" applyProtection="0"/>
    <xf numFmtId="0" fontId="48" fillId="0" borderId="0"/>
    <xf numFmtId="0" fontId="30" fillId="0" borderId="0"/>
    <xf numFmtId="0" fontId="48" fillId="0" borderId="0"/>
    <xf numFmtId="0" fontId="30" fillId="0" borderId="0"/>
    <xf numFmtId="184" fontId="49" fillId="0" borderId="0" applyFill="0" applyBorder="0">
      <alignment horizontal="left"/>
    </xf>
    <xf numFmtId="176" fontId="50" fillId="0" borderId="0"/>
    <xf numFmtId="185" fontId="50" fillId="0" borderId="0"/>
    <xf numFmtId="186" fontId="50" fillId="0" borderId="0"/>
    <xf numFmtId="0" fontId="51" fillId="0" borderId="0">
      <alignment horizontal="left"/>
    </xf>
    <xf numFmtId="0" fontId="52" fillId="0" borderId="0"/>
    <xf numFmtId="0" fontId="53" fillId="0" borderId="0">
      <alignment horizontal="left"/>
    </xf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7" fontId="47" fillId="0" borderId="0" applyFill="0" applyBorder="0" applyProtection="0">
      <alignment horizontal="right"/>
    </xf>
    <xf numFmtId="188" fontId="55" fillId="19" borderId="17" applyNumberFormat="0" applyBorder="0"/>
    <xf numFmtId="189" fontId="26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56" fillId="20" borderId="0" applyNumberFormat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57" fillId="0" borderId="0">
      <protection locked="0"/>
    </xf>
    <xf numFmtId="194" fontId="58" fillId="0" borderId="0"/>
    <xf numFmtId="0" fontId="59" fillId="0" borderId="0">
      <protection locked="0"/>
    </xf>
    <xf numFmtId="0" fontId="59" fillId="0" borderId="0">
      <protection locked="0"/>
    </xf>
    <xf numFmtId="195" fontId="24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96" fontId="10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185" fontId="58" fillId="0" borderId="0"/>
    <xf numFmtId="0" fontId="60" fillId="0" borderId="0">
      <alignment horizontal="left"/>
    </xf>
    <xf numFmtId="0" fontId="61" fillId="0" borderId="0">
      <alignment horizontal="left"/>
    </xf>
    <xf numFmtId="0" fontId="62" fillId="0" borderId="0">
      <alignment horizontal="left"/>
    </xf>
    <xf numFmtId="0" fontId="62" fillId="0" borderId="0" applyNumberFormat="0" applyFill="0" applyBorder="0" applyProtection="0">
      <alignment horizontal="left"/>
    </xf>
    <xf numFmtId="0" fontId="62" fillId="0" borderId="0" applyFill="0" applyBorder="0" applyProtection="0">
      <alignment horizontal="left"/>
    </xf>
    <xf numFmtId="191" fontId="63" fillId="0" borderId="0" applyNumberFormat="0" applyFill="0" applyBorder="0" applyAlignment="0" applyProtection="0"/>
    <xf numFmtId="38" fontId="64" fillId="21" borderId="0" applyNumberFormat="0" applyBorder="0" applyAlignment="0" applyProtection="0"/>
    <xf numFmtId="0" fontId="65" fillId="0" borderId="0" applyNumberFormat="0" applyFill="0" applyProtection="0">
      <alignment horizontal="left"/>
    </xf>
    <xf numFmtId="0" fontId="66" fillId="0" borderId="0">
      <alignment horizontal="left"/>
    </xf>
    <xf numFmtId="0" fontId="66" fillId="0" borderId="0">
      <alignment horizontal="left"/>
    </xf>
    <xf numFmtId="0" fontId="67" fillId="0" borderId="0"/>
    <xf numFmtId="0" fontId="68" fillId="0" borderId="11" applyNumberFormat="0" applyAlignment="0" applyProtection="0">
      <alignment horizontal="left" vertical="center"/>
    </xf>
    <xf numFmtId="0" fontId="68" fillId="0" borderId="18">
      <alignment horizontal="left" vertical="center"/>
    </xf>
    <xf numFmtId="0" fontId="69" fillId="0" borderId="19">
      <alignment horizontal="left" vertical="top"/>
    </xf>
    <xf numFmtId="0" fontId="70" fillId="0" borderId="0">
      <alignment horizontal="left"/>
    </xf>
    <xf numFmtId="0" fontId="69" fillId="0" borderId="19">
      <alignment horizontal="left" vertical="top"/>
    </xf>
    <xf numFmtId="0" fontId="71" fillId="0" borderId="19">
      <alignment horizontal="left" vertical="top"/>
    </xf>
    <xf numFmtId="0" fontId="72" fillId="0" borderId="0">
      <alignment horizontal="left"/>
    </xf>
    <xf numFmtId="0" fontId="73" fillId="0" borderId="19">
      <alignment horizontal="left" vertical="top"/>
    </xf>
    <xf numFmtId="0" fontId="74" fillId="0" borderId="0">
      <alignment horizontal="left"/>
    </xf>
    <xf numFmtId="0" fontId="74" fillId="0" borderId="0">
      <alignment horizontal="left"/>
    </xf>
    <xf numFmtId="191" fontId="10" fillId="22" borderId="15" applyNumberFormat="0" applyFont="0" applyAlignment="0">
      <protection locked="0"/>
    </xf>
    <xf numFmtId="10" fontId="64" fillId="23" borderId="15" applyNumberFormat="0" applyBorder="0" applyAlignment="0" applyProtection="0"/>
    <xf numFmtId="197" fontId="75" fillId="0" borderId="0" applyFill="0" applyBorder="0" applyProtection="0"/>
    <xf numFmtId="187" fontId="75" fillId="0" borderId="0" applyFill="0" applyBorder="0" applyProtection="0"/>
    <xf numFmtId="198" fontId="75" fillId="0" borderId="0" applyFill="0" applyBorder="0" applyProtection="0"/>
    <xf numFmtId="199" fontId="75" fillId="0" borderId="0" applyFill="0" applyBorder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/>
    <xf numFmtId="186" fontId="58" fillId="0" borderId="0"/>
    <xf numFmtId="0" fontId="76" fillId="0" borderId="0" applyNumberFormat="0">
      <alignment horizontal="left"/>
    </xf>
    <xf numFmtId="0" fontId="30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34" fillId="0" borderId="10" applyFont="0" applyFill="0" applyBorder="0" applyAlignment="0"/>
    <xf numFmtId="193" fontId="77" fillId="24" borderId="0" applyFill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77" fillId="24" borderId="0" applyFill="0"/>
    <xf numFmtId="198" fontId="47" fillId="0" borderId="0" applyFill="0" applyBorder="0" applyProtection="0">
      <alignment horizontal="right"/>
    </xf>
    <xf numFmtId="0" fontId="78" fillId="0" borderId="0">
      <alignment horizontal="left"/>
    </xf>
    <xf numFmtId="0" fontId="35" fillId="0" borderId="0"/>
    <xf numFmtId="0" fontId="35" fillId="0" borderId="20"/>
    <xf numFmtId="200" fontId="9" fillId="0" borderId="0"/>
    <xf numFmtId="0" fontId="9" fillId="0" borderId="0"/>
    <xf numFmtId="0" fontId="79" fillId="0" borderId="0"/>
    <xf numFmtId="201" fontId="34" fillId="0" borderId="0" applyBorder="0" applyProtection="0">
      <protection locked="0" hidden="1"/>
    </xf>
    <xf numFmtId="10" fontId="32" fillId="0" borderId="8"/>
    <xf numFmtId="0" fontId="70" fillId="0" borderId="0" applyNumberFormat="0" applyFill="0" applyBorder="0" applyProtection="0">
      <alignment horizontal="left"/>
    </xf>
    <xf numFmtId="0" fontId="40" fillId="0" borderId="0"/>
    <xf numFmtId="0" fontId="80" fillId="0" borderId="0"/>
    <xf numFmtId="9" fontId="41" fillId="0" borderId="0" applyFont="0" applyFill="0" applyBorder="0" applyAlignment="0" applyProtection="0"/>
    <xf numFmtId="0" fontId="81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34" fillId="0" borderId="0" applyNumberFormat="0">
      <alignment horizontal="left"/>
    </xf>
    <xf numFmtId="0" fontId="83" fillId="0" borderId="16"/>
    <xf numFmtId="0" fontId="83" fillId="0" borderId="16"/>
    <xf numFmtId="10" fontId="40" fillId="0" borderId="15"/>
    <xf numFmtId="10" fontId="9" fillId="0" borderId="0"/>
    <xf numFmtId="2" fontId="32" fillId="0" borderId="0">
      <alignment horizontal="right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0"/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1" fillId="0" borderId="0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202" fontId="85" fillId="0" borderId="21" applyNumberFormat="0" applyAlignment="0" applyProtection="0">
      <alignment horizontal="right" vertical="center" indent="1"/>
    </xf>
    <xf numFmtId="0" fontId="86" fillId="25" borderId="22" applyNumberFormat="0" applyAlignment="0" applyProtection="0">
      <alignment horizontal="left" vertical="center" indent="1"/>
    </xf>
    <xf numFmtId="0" fontId="85" fillId="26" borderId="22" applyNumberFormat="0" applyAlignment="0" applyProtection="0">
      <alignment horizontal="left" vertical="center" indent="1"/>
    </xf>
    <xf numFmtId="202" fontId="85" fillId="25" borderId="23" applyNumberFormat="0" applyAlignment="0" applyProtection="0">
      <alignment horizontal="left" vertical="center" indent="1"/>
    </xf>
    <xf numFmtId="0" fontId="87" fillId="27" borderId="0" applyNumberFormat="0" applyFont="0" applyBorder="0" applyAlignment="0" applyProtection="0"/>
    <xf numFmtId="0" fontId="88" fillId="0" borderId="0" applyNumberFormat="0">
      <alignment horizontal="left"/>
    </xf>
    <xf numFmtId="0" fontId="89" fillId="0" borderId="14"/>
    <xf numFmtId="0" fontId="9" fillId="28" borderId="0"/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90" fillId="0" borderId="0" applyNumberFormat="0" applyFill="0" applyBorder="0" applyProtection="0">
      <alignment horizontal="left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91" fillId="0" borderId="0" applyFill="0" applyBorder="0" applyProtection="0">
      <alignment vertical="center"/>
    </xf>
    <xf numFmtId="0" fontId="62" fillId="0" borderId="0" applyNumberFormat="0" applyFill="0" applyBorder="0" applyProtection="0">
      <alignment horizontal="left"/>
    </xf>
    <xf numFmtId="0" fontId="72" fillId="0" borderId="0" applyNumberFormat="0" applyFill="0" applyBorder="0" applyProtection="0"/>
    <xf numFmtId="0" fontId="70" fillId="0" borderId="0" applyNumberFormat="0" applyFill="0" applyBorder="0" applyProtection="0"/>
    <xf numFmtId="0" fontId="6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/>
    <xf numFmtId="191" fontId="94" fillId="0" borderId="0" applyNumberFormat="0" applyFill="0" applyBorder="0" applyAlignment="0" applyProtection="0"/>
    <xf numFmtId="0" fontId="93" fillId="0" borderId="0"/>
    <xf numFmtId="0" fontId="92" fillId="0" borderId="0"/>
    <xf numFmtId="0" fontId="41" fillId="0" borderId="24" applyNumberFormat="0" applyFont="0" applyFill="0" applyAlignment="0" applyProtection="0"/>
    <xf numFmtId="197" fontId="95" fillId="0" borderId="0" applyFill="0" applyBorder="0" applyProtection="0"/>
    <xf numFmtId="204" fontId="95" fillId="0" borderId="0" applyFill="0" applyBorder="0" applyProtection="0"/>
    <xf numFmtId="0" fontId="10" fillId="12" borderId="0" applyNumberFormat="0" applyBorder="0" applyAlignment="0" applyProtection="0"/>
    <xf numFmtId="205" fontId="96" fillId="0" borderId="0" applyFont="0" applyFill="0" applyBorder="0" applyAlignment="0" applyProtection="0"/>
    <xf numFmtId="206" fontId="96" fillId="0" borderId="0" applyFont="0" applyFill="0" applyBorder="0" applyAlignment="0" applyProtection="0"/>
    <xf numFmtId="1" fontId="97" fillId="0" borderId="0">
      <alignment horizontal="right"/>
    </xf>
    <xf numFmtId="207" fontId="10" fillId="0" borderId="0" applyFon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32" borderId="0" applyNumberFormat="0" applyBorder="0" applyAlignment="0" applyProtection="0"/>
    <xf numFmtId="0" fontId="98" fillId="9" borderId="25" applyNumberFormat="0" applyAlignment="0" applyProtection="0"/>
    <xf numFmtId="0" fontId="99" fillId="33" borderId="26" applyNumberFormat="0" applyAlignment="0" applyProtection="0"/>
    <xf numFmtId="0" fontId="100" fillId="33" borderId="25" applyNumberFormat="0" applyAlignment="0" applyProtection="0"/>
    <xf numFmtId="0" fontId="101" fillId="0" borderId="27" applyNumberFormat="0" applyFill="0" applyAlignment="0" applyProtection="0"/>
    <xf numFmtId="0" fontId="102" fillId="0" borderId="28" applyNumberFormat="0" applyFill="0" applyAlignment="0" applyProtection="0"/>
    <xf numFmtId="0" fontId="103" fillId="0" borderId="2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30" applyNumberFormat="0" applyFill="0" applyAlignment="0" applyProtection="0"/>
    <xf numFmtId="0" fontId="105" fillId="34" borderId="31" applyNumberFormat="0" applyAlignment="0" applyProtection="0"/>
    <xf numFmtId="0" fontId="106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5" borderId="0" applyNumberFormat="0" applyBorder="0" applyAlignment="0" applyProtection="0"/>
    <xf numFmtId="0" fontId="111" fillId="0" borderId="0" applyNumberFormat="0" applyFill="0" applyBorder="0" applyAlignment="0" applyProtection="0"/>
    <xf numFmtId="0" fontId="9" fillId="35" borderId="32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3" fillId="0" borderId="3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14" fillId="0" borderId="0" applyNumberFormat="0" applyFill="0" applyBorder="0" applyAlignment="0" applyProtection="0"/>
    <xf numFmtId="41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6" fillId="6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202" fontId="86" fillId="47" borderId="36" applyNumberFormat="0" applyAlignment="0" applyProtection="0">
      <alignment horizontal="right" vertical="center" indent="1"/>
    </xf>
    <xf numFmtId="202" fontId="85" fillId="36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202" fontId="85" fillId="38" borderId="21" applyNumberFormat="0" applyBorder="0" applyAlignment="0" applyProtection="0">
      <alignment horizontal="right" vertical="center" indent="1"/>
    </xf>
    <xf numFmtId="0" fontId="85" fillId="36" borderId="22" applyNumberFormat="0" applyAlignment="0" applyProtection="0">
      <alignment horizontal="left" vertical="center" indent="1"/>
    </xf>
    <xf numFmtId="202" fontId="86" fillId="47" borderId="36" applyNumberFormat="0" applyAlignment="0" applyProtection="0">
      <alignment horizontal="right" vertical="center" indent="1"/>
    </xf>
    <xf numFmtId="202" fontId="86" fillId="38" borderId="36" applyNumberFormat="0" applyAlignment="0" applyProtection="0">
      <alignment horizontal="right" vertical="center" indent="1"/>
    </xf>
    <xf numFmtId="202" fontId="117" fillId="41" borderId="34" applyNumberFormat="0" applyBorder="0" applyAlignment="0" applyProtection="0">
      <alignment horizontal="right" vertical="center" indent="1"/>
    </xf>
    <xf numFmtId="202" fontId="117" fillId="40" borderId="34" applyNumberFormat="0" applyBorder="0" applyAlignment="0" applyProtection="0">
      <alignment horizontal="right" vertical="center" indent="1"/>
    </xf>
    <xf numFmtId="202" fontId="117" fillId="39" borderId="34" applyNumberFormat="0" applyBorder="0" applyAlignment="0" applyProtection="0">
      <alignment horizontal="right" vertical="center" indent="1"/>
    </xf>
    <xf numFmtId="202" fontId="118" fillId="48" borderId="34" applyNumberFormat="0" applyBorder="0" applyAlignment="0" applyProtection="0">
      <alignment horizontal="right" vertical="center" indent="1"/>
    </xf>
    <xf numFmtId="202" fontId="118" fillId="49" borderId="34" applyNumberFormat="0" applyBorder="0" applyAlignment="0" applyProtection="0">
      <alignment horizontal="right" vertical="center" indent="1"/>
    </xf>
    <xf numFmtId="202" fontId="118" fillId="50" borderId="34" applyNumberFormat="0" applyBorder="0" applyAlignment="0" applyProtection="0">
      <alignment horizontal="right" vertical="center" indent="1"/>
    </xf>
    <xf numFmtId="202" fontId="119" fillId="43" borderId="34" applyNumberFormat="0" applyBorder="0" applyAlignment="0" applyProtection="0">
      <alignment horizontal="right" vertical="center" indent="1"/>
    </xf>
    <xf numFmtId="202" fontId="119" fillId="44" borderId="34" applyNumberFormat="0" applyBorder="0" applyAlignment="0" applyProtection="0">
      <alignment horizontal="right" vertical="center" indent="1"/>
    </xf>
    <xf numFmtId="202" fontId="119" fillId="45" borderId="34" applyNumberFormat="0" applyBorder="0" applyAlignment="0" applyProtection="0">
      <alignment horizontal="right" vertical="center" indent="1"/>
    </xf>
    <xf numFmtId="0" fontId="120" fillId="0" borderId="23" applyNumberFormat="0" applyFont="0" applyFill="0" applyAlignment="0" applyProtection="0"/>
    <xf numFmtId="0" fontId="86" fillId="42" borderId="22" applyNumberFormat="0" applyAlignment="0" applyProtection="0">
      <alignment horizontal="left" vertical="center" indent="1"/>
    </xf>
    <xf numFmtId="0" fontId="85" fillId="46" borderId="22" applyNumberFormat="0" applyAlignment="0" applyProtection="0">
      <alignment horizontal="left" vertical="center" indent="1"/>
    </xf>
    <xf numFmtId="0" fontId="85" fillId="52" borderId="22" applyNumberFormat="0" applyAlignment="0" applyProtection="0">
      <alignment horizontal="left" vertical="center" indent="1"/>
    </xf>
    <xf numFmtId="0" fontId="85" fillId="53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0" fontId="121" fillId="0" borderId="35" applyNumberFormat="0" applyFill="0" applyBorder="0" applyAlignment="0" applyProtection="0"/>
    <xf numFmtId="202" fontId="122" fillId="47" borderId="36" applyNumberFormat="0" applyAlignment="0" applyProtection="0">
      <alignment horizontal="right" vertical="center" indent="1"/>
    </xf>
    <xf numFmtId="0" fontId="85" fillId="25" borderId="36" applyNumberFormat="0" applyAlignment="0" applyProtection="0">
      <alignment horizontal="left" vertical="center" indent="1"/>
    </xf>
    <xf numFmtId="0" fontId="85" fillId="51" borderId="36" applyNumberFormat="0" applyAlignment="0" applyProtection="0">
      <alignment horizontal="left" vertical="center" indent="1"/>
    </xf>
    <xf numFmtId="0" fontId="1" fillId="0" borderId="0"/>
    <xf numFmtId="0" fontId="89" fillId="0" borderId="14"/>
    <xf numFmtId="0" fontId="39" fillId="0" borderId="16">
      <alignment horizontal="centerContinuous"/>
    </xf>
    <xf numFmtId="0" fontId="39" fillId="0" borderId="16">
      <alignment horizontal="center"/>
    </xf>
    <xf numFmtId="0" fontId="1" fillId="0" borderId="0"/>
    <xf numFmtId="0" fontId="33" fillId="0" borderId="14" applyFont="0" applyFill="0" applyBorder="0" applyAlignment="0" applyProtection="0"/>
    <xf numFmtId="0" fontId="1" fillId="0" borderId="0"/>
    <xf numFmtId="0" fontId="33" fillId="0" borderId="14" applyFont="0" applyFill="0" applyBorder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0" fontId="83" fillId="0" borderId="16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39" fillId="0" borderId="16">
      <alignment horizontal="center"/>
    </xf>
    <xf numFmtId="0" fontId="39" fillId="0" borderId="16">
      <alignment horizontal="center"/>
    </xf>
    <xf numFmtId="203" fontId="91" fillId="0" borderId="16" applyBorder="0" applyProtection="0">
      <alignment horizontal="right" vertical="center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3" fillId="0" borderId="16"/>
    <xf numFmtId="0" fontId="83" fillId="0" borderId="16"/>
    <xf numFmtId="0" fontId="83" fillId="0" borderId="16"/>
    <xf numFmtId="0" fontId="83" fillId="0" borderId="16"/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1" fillId="0" borderId="0"/>
    <xf numFmtId="0" fontId="1" fillId="0" borderId="0"/>
    <xf numFmtId="0" fontId="39" fillId="0" borderId="16">
      <alignment horizontal="center"/>
    </xf>
    <xf numFmtId="0" fontId="39" fillId="0" borderId="16">
      <alignment horizontal="centerContinuous"/>
    </xf>
    <xf numFmtId="0" fontId="89" fillId="0" borderId="14"/>
    <xf numFmtId="191" fontId="10" fillId="22" borderId="15" applyNumberFormat="0" applyFont="0" applyAlignment="0">
      <protection locked="0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1" fillId="0" borderId="0"/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protection locked="0"/>
    </xf>
    <xf numFmtId="0" fontId="39" fillId="0" borderId="16">
      <alignment horizontal="centerContinuous"/>
    </xf>
    <xf numFmtId="0" fontId="89" fillId="0" borderId="14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1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1" fillId="0" borderId="0"/>
    <xf numFmtId="0" fontId="1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</cellStyleXfs>
  <cellXfs count="125">
    <xf numFmtId="0" fontId="0" fillId="0" borderId="0" xfId="0"/>
    <xf numFmtId="0" fontId="5" fillId="0" borderId="0" xfId="0" applyFont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0" xfId="3" applyFont="1" applyFill="1" applyBorder="1"/>
    <xf numFmtId="164" fontId="13" fillId="0" borderId="1" xfId="3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164" fontId="12" fillId="0" borderId="3" xfId="3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14" fillId="0" borderId="3" xfId="0" applyFont="1" applyBorder="1"/>
    <xf numFmtId="0" fontId="12" fillId="0" borderId="1" xfId="2" applyFont="1" applyFill="1" applyBorder="1" applyAlignment="1">
      <alignment vertical="top" wrapText="1"/>
    </xf>
    <xf numFmtId="0" fontId="13" fillId="0" borderId="3" xfId="2" applyFont="1" applyFill="1" applyBorder="1" applyAlignment="1">
      <alignment vertical="top" wrapText="1"/>
    </xf>
    <xf numFmtId="0" fontId="12" fillId="0" borderId="0" xfId="2" applyFont="1" applyFill="1" applyAlignment="1">
      <alignment vertical="top" wrapText="1"/>
    </xf>
    <xf numFmtId="0" fontId="12" fillId="0" borderId="3" xfId="2" applyFont="1" applyFill="1" applyBorder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4" fillId="0" borderId="0" xfId="0" applyFont="1" applyBorder="1"/>
    <xf numFmtId="0" fontId="12" fillId="0" borderId="0" xfId="2" applyFont="1" applyFill="1" applyBorder="1" applyAlignment="1">
      <alignment vertical="top" wrapText="1"/>
    </xf>
    <xf numFmtId="164" fontId="13" fillId="0" borderId="0" xfId="3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 indent="1"/>
    </xf>
    <xf numFmtId="0" fontId="13" fillId="0" borderId="3" xfId="2" applyFont="1" applyFill="1" applyBorder="1" applyAlignment="1">
      <alignment vertical="top"/>
    </xf>
    <xf numFmtId="0" fontId="11" fillId="0" borderId="0" xfId="4" applyNumberFormat="1" applyFont="1" applyAlignment="1">
      <alignment wrapText="1"/>
    </xf>
    <xf numFmtId="0" fontId="12" fillId="0" borderId="3" xfId="2" applyFont="1" applyFill="1" applyBorder="1" applyAlignment="1">
      <alignment horizontal="left" vertical="top" wrapText="1" indent="1"/>
    </xf>
    <xf numFmtId="0" fontId="15" fillId="0" borderId="0" xfId="0" applyFont="1"/>
    <xf numFmtId="0" fontId="16" fillId="0" borderId="0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left" vertical="top" wrapText="1" indent="1"/>
    </xf>
    <xf numFmtId="0" fontId="16" fillId="0" borderId="3" xfId="2" applyFont="1" applyFill="1" applyBorder="1" applyAlignment="1">
      <alignment horizontal="left" vertical="top" wrapText="1" indent="1"/>
    </xf>
    <xf numFmtId="9" fontId="16" fillId="0" borderId="0" xfId="1" applyFont="1" applyBorder="1" applyAlignment="1">
      <alignment horizontal="center" vertical="center"/>
    </xf>
    <xf numFmtId="0" fontId="16" fillId="0" borderId="2" xfId="2" applyFont="1" applyFill="1" applyBorder="1" applyAlignment="1">
      <alignment vertical="top" wrapText="1"/>
    </xf>
    <xf numFmtId="0" fontId="16" fillId="0" borderId="3" xfId="2" applyFont="1" applyFill="1" applyBorder="1" applyAlignment="1">
      <alignment vertical="top" wrapText="1"/>
    </xf>
    <xf numFmtId="165" fontId="16" fillId="0" borderId="2" xfId="3" applyNumberFormat="1" applyFont="1" applyBorder="1" applyAlignment="1">
      <alignment horizontal="center" vertical="center"/>
    </xf>
    <xf numFmtId="165" fontId="16" fillId="0" borderId="3" xfId="3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3" xfId="0" applyBorder="1"/>
    <xf numFmtId="164" fontId="12" fillId="0" borderId="2" xfId="3" applyNumberFormat="1" applyFont="1" applyBorder="1" applyAlignment="1">
      <alignment horizontal="center" vertical="center"/>
    </xf>
    <xf numFmtId="0" fontId="18" fillId="0" borderId="0" xfId="5" applyFont="1" applyFill="1" applyBorder="1" applyAlignment="1">
      <alignment horizontal="left" vertical="center" wrapText="1"/>
    </xf>
    <xf numFmtId="0" fontId="0" fillId="0" borderId="3" xfId="0" applyBorder="1" applyAlignment="1"/>
    <xf numFmtId="164" fontId="5" fillId="0" borderId="3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wrapText="1"/>
    </xf>
    <xf numFmtId="166" fontId="5" fillId="0" borderId="2" xfId="0" applyNumberFormat="1" applyFont="1" applyBorder="1"/>
    <xf numFmtId="166" fontId="5" fillId="0" borderId="0" xfId="0" applyNumberFormat="1" applyFont="1" applyBorder="1"/>
    <xf numFmtId="166" fontId="5" fillId="0" borderId="3" xfId="0" applyNumberFormat="1" applyFont="1" applyBorder="1"/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0" xfId="4" applyNumberFormat="1" applyFont="1" applyBorder="1" applyAlignment="1">
      <alignment wrapText="1"/>
    </xf>
    <xf numFmtId="0" fontId="11" fillId="0" borderId="3" xfId="4" applyNumberFormat="1" applyFont="1" applyBorder="1" applyAlignment="1">
      <alignment wrapText="1"/>
    </xf>
    <xf numFmtId="0" fontId="0" fillId="0" borderId="1" xfId="0" applyBorder="1"/>
    <xf numFmtId="0" fontId="0" fillId="0" borderId="0" xfId="0" applyFill="1"/>
    <xf numFmtId="167" fontId="0" fillId="0" borderId="0" xfId="6" applyNumberFormat="1" applyFont="1"/>
    <xf numFmtId="4" fontId="0" fillId="0" borderId="0" xfId="0" applyNumberFormat="1"/>
    <xf numFmtId="0" fontId="8" fillId="0" borderId="4" xfId="0" applyFont="1" applyBorder="1" applyAlignment="1">
      <alignment horizontal="center"/>
    </xf>
    <xf numFmtId="164" fontId="12" fillId="0" borderId="3" xfId="3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ont="1" applyFill="1"/>
    <xf numFmtId="164" fontId="12" fillId="0" borderId="0" xfId="3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164" fontId="13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/>
    <xf numFmtId="164" fontId="20" fillId="0" borderId="0" xfId="0" applyNumberFormat="1" applyFont="1" applyFill="1"/>
    <xf numFmtId="0" fontId="20" fillId="0" borderId="0" xfId="0" applyFont="1"/>
    <xf numFmtId="0" fontId="21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/>
    <xf numFmtId="0" fontId="22" fillId="0" borderId="0" xfId="0" applyFont="1"/>
    <xf numFmtId="0" fontId="22" fillId="0" borderId="0" xfId="0" applyFont="1" applyFill="1"/>
    <xf numFmtId="0" fontId="22" fillId="0" borderId="4" xfId="0" applyFont="1" applyBorder="1"/>
    <xf numFmtId="0" fontId="23" fillId="0" borderId="0" xfId="2" applyFont="1" applyAlignment="1">
      <alignment horizontal="center" vertical="distributed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8" fontId="12" fillId="0" borderId="0" xfId="3" applyNumberFormat="1" applyFont="1" applyFill="1" applyBorder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0" fillId="0" borderId="0" xfId="0" applyFont="1" applyFill="1"/>
    <xf numFmtId="0" fontId="8" fillId="0" borderId="4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Border="1"/>
    <xf numFmtId="0" fontId="8" fillId="0" borderId="4" xfId="0" applyFont="1" applyBorder="1" applyAlignment="1">
      <alignment horizontal="center"/>
    </xf>
    <xf numFmtId="0" fontId="0" fillId="0" borderId="0" xfId="0"/>
    <xf numFmtId="166" fontId="5" fillId="54" borderId="2" xfId="0" applyNumberFormat="1" applyFont="1" applyFill="1" applyBorder="1" applyAlignment="1">
      <alignment horizontal="center"/>
    </xf>
    <xf numFmtId="166" fontId="5" fillId="54" borderId="2" xfId="0" applyNumberFormat="1" applyFont="1" applyFill="1" applyBorder="1"/>
    <xf numFmtId="0" fontId="0" fillId="54" borderId="0" xfId="0" applyFill="1"/>
    <xf numFmtId="166" fontId="5" fillId="54" borderId="0" xfId="0" applyNumberFormat="1" applyFont="1" applyFill="1" applyBorder="1" applyAlignment="1">
      <alignment horizontal="center"/>
    </xf>
    <xf numFmtId="166" fontId="5" fillId="54" borderId="0" xfId="0" applyNumberFormat="1" applyFont="1" applyFill="1" applyBorder="1"/>
    <xf numFmtId="166" fontId="5" fillId="54" borderId="3" xfId="0" applyNumberFormat="1" applyFont="1" applyFill="1" applyBorder="1" applyAlignment="1">
      <alignment horizontal="center"/>
    </xf>
    <xf numFmtId="166" fontId="5" fillId="54" borderId="3" xfId="1" applyNumberFormat="1" applyFont="1" applyFill="1" applyBorder="1"/>
    <xf numFmtId="164" fontId="12" fillId="54" borderId="3" xfId="3" applyNumberFormat="1" applyFont="1" applyFill="1" applyBorder="1" applyAlignment="1">
      <alignment horizontal="center" vertical="center"/>
    </xf>
    <xf numFmtId="164" fontId="8" fillId="54" borderId="3" xfId="0" applyNumberFormat="1" applyFont="1" applyFill="1" applyBorder="1" applyAlignment="1">
      <alignment horizontal="center" vertical="center"/>
    </xf>
    <xf numFmtId="166" fontId="5" fillId="54" borderId="3" xfId="0" applyNumberFormat="1" applyFont="1" applyFill="1" applyBorder="1"/>
    <xf numFmtId="164" fontId="12" fillId="54" borderId="2" xfId="3" applyNumberFormat="1" applyFont="1" applyFill="1" applyBorder="1" applyAlignment="1">
      <alignment horizontal="center" vertical="center"/>
    </xf>
    <xf numFmtId="3" fontId="0" fillId="0" borderId="0" xfId="0" applyNumberFormat="1"/>
    <xf numFmtId="0" fontId="22" fillId="0" borderId="0" xfId="0" applyFont="1" applyAlignment="1">
      <alignment horizontal="center"/>
    </xf>
    <xf numFmtId="3" fontId="123" fillId="0" borderId="0" xfId="6" applyNumberFormat="1" applyFont="1" applyFill="1" applyAlignment="1">
      <alignment horizontal="right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5" fillId="0" borderId="0" xfId="0" applyFont="1" applyAlignment="1">
      <alignment horizontal="right" vertical="center" wrapText="1"/>
    </xf>
    <xf numFmtId="0" fontId="123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123" fillId="0" borderId="0" xfId="0" applyFont="1" applyAlignment="1">
      <alignment horizontal="right" vertical="center"/>
    </xf>
    <xf numFmtId="0" fontId="85" fillId="0" borderId="12" xfId="0" applyFont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164" fontId="0" fillId="0" borderId="0" xfId="0" applyNumberFormat="1"/>
    <xf numFmtId="0" fontId="7" fillId="0" borderId="0" xfId="0" applyFont="1" applyAlignment="1"/>
    <xf numFmtId="0" fontId="124" fillId="0" borderId="0" xfId="0" applyFont="1"/>
    <xf numFmtId="0" fontId="125" fillId="0" borderId="0" xfId="0" applyFont="1"/>
    <xf numFmtId="0" fontId="126" fillId="0" borderId="0" xfId="0" applyFont="1" applyAlignment="1"/>
    <xf numFmtId="0" fontId="127" fillId="0" borderId="0" xfId="0" applyFont="1"/>
    <xf numFmtId="0" fontId="126" fillId="0" borderId="0" xfId="0" applyFont="1"/>
    <xf numFmtId="0" fontId="128" fillId="0" borderId="0" xfId="0" applyFont="1"/>
    <xf numFmtId="0" fontId="6" fillId="55" borderId="0" xfId="0" applyFont="1" applyFill="1" applyAlignment="1">
      <alignment horizontal="center" vertical="center" textRotation="90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81">
    <cellStyle name="%" xfId="13"/>
    <cellStyle name="%0" xfId="14"/>
    <cellStyle name="%1" xfId="15"/>
    <cellStyle name="%2" xfId="16"/>
    <cellStyle name="_~6030600" xfId="17"/>
    <cellStyle name="_Highlight" xfId="18"/>
    <cellStyle name="_TableHead" xfId="19"/>
    <cellStyle name="_TableRowHead" xfId="20"/>
    <cellStyle name="_TableSuperHead_Water, IntGas and Other" xfId="21"/>
    <cellStyle name="_Valuation ZTS v02 021029" xfId="22"/>
    <cellStyle name="_Баланс ДМЦ" xfId="23"/>
    <cellStyle name="_Бюджет  ДМЦ 2008" xfId="24"/>
    <cellStyle name="_ДДС форма3 новая _" xfId="25"/>
    <cellStyle name="_ДДС форма3 новая _1" xfId="26"/>
    <cellStyle name="_Долг ДМЦ 2008" xfId="27"/>
    <cellStyle name="_КиАУР" xfId="28"/>
    <cellStyle name="_Классификатор 2008-версия 4" xfId="29"/>
    <cellStyle name="_Книга1" xfId="30"/>
    <cellStyle name="_модель2" xfId="31"/>
    <cellStyle name="_Прогноз 2009" xfId="32"/>
    <cellStyle name="_Прогноз 2009 25.06.2009" xfId="33"/>
    <cellStyle name="_Прогноз 2009 на утверждение (version 1)" xfId="34"/>
    <cellStyle name="_ПРОГНОЗ 2009(32 800 700)" xfId="35"/>
    <cellStyle name="_Прогноз 2009(7 08 09)23 247 с коррективами Директоров РТП" xfId="36"/>
    <cellStyle name="_Прогноз 2009(УТВЕРЖД)08 04 09" xfId="37"/>
    <cellStyle name="_Прогноз 2010 от 26.01.2010" xfId="38"/>
    <cellStyle name="_Прогноз общий 2009 (24 760)10.03" xfId="39"/>
    <cellStyle name="_С-тойз" xfId="40"/>
    <cellStyle name="_Ф.5 ДМЦДолг" xfId="41"/>
    <cellStyle name="£ BP" xfId="42"/>
    <cellStyle name="¥ JY" xfId="43"/>
    <cellStyle name="•W€_GE 3 MINIMUM" xfId="44"/>
    <cellStyle name="0" xfId="45"/>
    <cellStyle name="0.0x" xfId="46"/>
    <cellStyle name="0.0x 2" xfId="693"/>
    <cellStyle name="0.0x 3" xfId="810"/>
    <cellStyle name="0.0x 4" xfId="811"/>
    <cellStyle name="0.0x 5" xfId="695"/>
    <cellStyle name="0.0x 6" xfId="809"/>
    <cellStyle name="1decimal" xfId="47"/>
    <cellStyle name="1Normal" xfId="48"/>
    <cellStyle name="20% - Акцент1 2" xfId="49"/>
    <cellStyle name="20% - Акцент1 3" xfId="50"/>
    <cellStyle name="20% - Акцент1 4" xfId="51"/>
    <cellStyle name="20% - Акцент2 2" xfId="52"/>
    <cellStyle name="20% - Акцент2 3" xfId="53"/>
    <cellStyle name="20% - Акцент2 4" xfId="54"/>
    <cellStyle name="20% - Акцент3 2" xfId="55"/>
    <cellStyle name="20% - Акцент3 3" xfId="56"/>
    <cellStyle name="20% - Акцент3 4" xfId="57"/>
    <cellStyle name="20% - Акцент4 2" xfId="58"/>
    <cellStyle name="20% - Акцент4 3" xfId="59"/>
    <cellStyle name="20% - Акцент4 4" xfId="60"/>
    <cellStyle name="20% - Акцент5 2" xfId="61"/>
    <cellStyle name="20% - Акцент5 3" xfId="62"/>
    <cellStyle name="20% - Акцент5 4" xfId="63"/>
    <cellStyle name="20% - Акцент6 2" xfId="64"/>
    <cellStyle name="20% - Акцент6 3" xfId="65"/>
    <cellStyle name="20% - Акцент6 4" xfId="66"/>
    <cellStyle name="2decimal" xfId="67"/>
    <cellStyle name="40% - Акцент1 2" xfId="68"/>
    <cellStyle name="40% - Акцент1 3" xfId="69"/>
    <cellStyle name="40% - Акцент1 4" xfId="70"/>
    <cellStyle name="40% - Акцент2 2" xfId="71"/>
    <cellStyle name="40% - Акцент2 3" xfId="72"/>
    <cellStyle name="40% - Акцент2 4" xfId="73"/>
    <cellStyle name="40% - Акцент3 2" xfId="74"/>
    <cellStyle name="40% - Акцент3 3" xfId="75"/>
    <cellStyle name="40% - Акцент3 4" xfId="76"/>
    <cellStyle name="40% - Акцент4 2" xfId="77"/>
    <cellStyle name="40% - Акцент4 3" xfId="78"/>
    <cellStyle name="40% - Акцент4 4" xfId="79"/>
    <cellStyle name="40% - Акцент5 2" xfId="80"/>
    <cellStyle name="40% - Акцент5 3" xfId="81"/>
    <cellStyle name="40% - Акцент5 4" xfId="82"/>
    <cellStyle name="40% - Акцент6 2" xfId="83"/>
    <cellStyle name="40% - Акцент6 3" xfId="84"/>
    <cellStyle name="40% - Акцент6 4" xfId="85"/>
    <cellStyle name="60% - Акцент1 2" xfId="86"/>
    <cellStyle name="60% - Акцент2 2" xfId="87"/>
    <cellStyle name="60% - Акцент3 2" xfId="88"/>
    <cellStyle name="60% - Акцент4 2" xfId="89"/>
    <cellStyle name="60% - Акцент5 2" xfId="90"/>
    <cellStyle name="60% - Акцент6 2" xfId="91"/>
    <cellStyle name="Assumption - Normal" xfId="92"/>
    <cellStyle name="at" xfId="93"/>
    <cellStyle name="at 2" xfId="94"/>
    <cellStyle name="at 2 2" xfId="697"/>
    <cellStyle name="at 2 3" xfId="805"/>
    <cellStyle name="at 2 4" xfId="807"/>
    <cellStyle name="at 2 5" xfId="705"/>
    <cellStyle name="at 2 6" xfId="791"/>
    <cellStyle name="at 3" xfId="696"/>
    <cellStyle name="at 4" xfId="806"/>
    <cellStyle name="at 5" xfId="808"/>
    <cellStyle name="at 6" xfId="704"/>
    <cellStyle name="at 7" xfId="792"/>
    <cellStyle name="b" xfId="95"/>
    <cellStyle name="b%0" xfId="96"/>
    <cellStyle name="b%1" xfId="97"/>
    <cellStyle name="b%2" xfId="98"/>
    <cellStyle name="b0" xfId="99"/>
    <cellStyle name="b09" xfId="100"/>
    <cellStyle name="b1" xfId="101"/>
    <cellStyle name="b2" xfId="102"/>
    <cellStyle name="Black" xfId="103"/>
    <cellStyle name="Blue" xfId="104"/>
    <cellStyle name="bo" xfId="105"/>
    <cellStyle name="Bold/Border" xfId="106"/>
    <cellStyle name="Bold/Border 2" xfId="107"/>
    <cellStyle name="Bold/Border 2 2" xfId="699"/>
    <cellStyle name="Bold/Border 2 3" xfId="799"/>
    <cellStyle name="Bold/Border 2 4" xfId="803"/>
    <cellStyle name="Bold/Border 2 5" xfId="707"/>
    <cellStyle name="Bold/Border 2 6" xfId="789"/>
    <cellStyle name="Bold/Border 3" xfId="698"/>
    <cellStyle name="Bold/Border 4" xfId="800"/>
    <cellStyle name="Bold/Border 5" xfId="804"/>
    <cellStyle name="Bold/Border 6" xfId="706"/>
    <cellStyle name="Bold/Border 7" xfId="790"/>
    <cellStyle name="Bottom" xfId="108"/>
    <cellStyle name="Bottom 2" xfId="109"/>
    <cellStyle name="Bottom 2 2" xfId="701"/>
    <cellStyle name="Bottom 2 3" xfId="797"/>
    <cellStyle name="Bottom 2 4" xfId="801"/>
    <cellStyle name="Bottom 2 5" xfId="709"/>
    <cellStyle name="Bottom 2 6" xfId="787"/>
    <cellStyle name="Bottom 3" xfId="700"/>
    <cellStyle name="Bottom 4" xfId="798"/>
    <cellStyle name="Bottom 5" xfId="802"/>
    <cellStyle name="Bottom 6" xfId="708"/>
    <cellStyle name="Bottom 7" xfId="788"/>
    <cellStyle name="bout" xfId="110"/>
    <cellStyle name="bt" xfId="111"/>
    <cellStyle name="bt 2" xfId="112"/>
    <cellStyle name="bt 2 2" xfId="703"/>
    <cellStyle name="bt 2 3" xfId="794"/>
    <cellStyle name="bt 2 4" xfId="793"/>
    <cellStyle name="bt 2 5" xfId="711"/>
    <cellStyle name="bt 2 6" xfId="785"/>
    <cellStyle name="bt 3" xfId="702"/>
    <cellStyle name="bt 4" xfId="795"/>
    <cellStyle name="bt 5" xfId="796"/>
    <cellStyle name="bt 6" xfId="710"/>
    <cellStyle name="bt 7" xfId="786"/>
    <cellStyle name="btit" xfId="113"/>
    <cellStyle name="Bullet" xfId="114"/>
    <cellStyle name="c" xfId="115"/>
    <cellStyle name="c_Grouse+Pelican" xfId="116"/>
    <cellStyle name="c_Macros" xfId="117"/>
    <cellStyle name="c_Macros (2)" xfId="118"/>
    <cellStyle name="c_Manager (2)" xfId="119"/>
    <cellStyle name="c0" xfId="120"/>
    <cellStyle name="cach" xfId="121"/>
    <cellStyle name="Changeable" xfId="122"/>
    <cellStyle name="Check" xfId="123"/>
    <cellStyle name="co" xfId="124"/>
    <cellStyle name="Comma" xfId="6" builtinId="3"/>
    <cellStyle name="Comma  - Style1" xfId="125"/>
    <cellStyle name="Comma  - Style2" xfId="126"/>
    <cellStyle name="Comma  - Style3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1]" xfId="133"/>
    <cellStyle name="Comma [2]" xfId="134"/>
    <cellStyle name="Comma 0" xfId="135"/>
    <cellStyle name="Comma 2" xfId="136"/>
    <cellStyle name="Comma 2*" xfId="137"/>
    <cellStyle name="Comma0 - Modelo1" xfId="138"/>
    <cellStyle name="Comma0 - Style1" xfId="139"/>
    <cellStyle name="Comma1 - Modelo2" xfId="140"/>
    <cellStyle name="Comma1 - Style2" xfId="141"/>
    <cellStyle name="CompanyName" xfId="142"/>
    <cellStyle name="Conor 1" xfId="143"/>
    <cellStyle name="Conor1" xfId="144"/>
    <cellStyle name="Conor2" xfId="145"/>
    <cellStyle name="Cover Date" xfId="146"/>
    <cellStyle name="Cover Subtitle" xfId="147"/>
    <cellStyle name="Cover Title" xfId="148"/>
    <cellStyle name="Currency [0] 2" xfId="150"/>
    <cellStyle name="Currency [0] 3" xfId="149"/>
    <cellStyle name="Currency [1]" xfId="151"/>
    <cellStyle name="Currency [2]" xfId="152"/>
    <cellStyle name="Currency 2" xfId="153"/>
    <cellStyle name="Dark Field" xfId="154"/>
    <cellStyle name="Dash" xfId="155"/>
    <cellStyle name="Date" xfId="156"/>
    <cellStyle name="Deviant" xfId="157"/>
    <cellStyle name="Dezimal [0]_Compiling Utility Macros" xfId="158"/>
    <cellStyle name="Dezimal_Compiling Utility Macros" xfId="159"/>
    <cellStyle name="Dia" xfId="160"/>
    <cellStyle name="Dollar" xfId="161"/>
    <cellStyle name="Encabez1" xfId="162"/>
    <cellStyle name="Encabez2" xfId="163"/>
    <cellStyle name="Euro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actor" xfId="172"/>
    <cellStyle name="Fijo" xfId="173"/>
    <cellStyle name="Financiero" xfId="174"/>
    <cellStyle name="Fixed" xfId="175"/>
    <cellStyle name="Footer SBILogo1" xfId="176"/>
    <cellStyle name="Footer SBILogo2" xfId="177"/>
    <cellStyle name="Footnote" xfId="178"/>
    <cellStyle name="Footnote Reference" xfId="179"/>
    <cellStyle name="Footnote_Financial Input" xfId="180"/>
    <cellStyle name="From" xfId="181"/>
    <cellStyle name="Grey" xfId="182"/>
    <cellStyle name="h" xfId="183"/>
    <cellStyle name="Header" xfId="184"/>
    <cellStyle name="Header Draft Stamp" xfId="185"/>
    <cellStyle name="Header_Comstar UTS 2004-2014 Sep29" xfId="186"/>
    <cellStyle name="Header1" xfId="187"/>
    <cellStyle name="Header2" xfId="188"/>
    <cellStyle name="Heading 1 2" xfId="189"/>
    <cellStyle name="Heading 1 Above" xfId="190"/>
    <cellStyle name="Heading 1+" xfId="191"/>
    <cellStyle name="Heading 2 2" xfId="192"/>
    <cellStyle name="Heading 2 Below" xfId="193"/>
    <cellStyle name="Heading 2+" xfId="194"/>
    <cellStyle name="Heading 3 2" xfId="195"/>
    <cellStyle name="Heading 3+" xfId="196"/>
    <cellStyle name="Input [yellow]" xfId="198"/>
    <cellStyle name="Input 10" xfId="781"/>
    <cellStyle name="Input 11" xfId="817"/>
    <cellStyle name="Input 2" xfId="197"/>
    <cellStyle name="Input 3" xfId="713"/>
    <cellStyle name="Input 4" xfId="782"/>
    <cellStyle name="Input 5" xfId="712"/>
    <cellStyle name="Input 6" xfId="783"/>
    <cellStyle name="Input 7" xfId="715"/>
    <cellStyle name="Input 8" xfId="784"/>
    <cellStyle name="Input 9" xfId="714"/>
    <cellStyle name="Input Currency" xfId="199"/>
    <cellStyle name="Input Currency 2" xfId="200"/>
    <cellStyle name="Input Multiple" xfId="201"/>
    <cellStyle name="Input Percent" xfId="202"/>
    <cellStyle name="InputBlueFont" xfId="203"/>
    <cellStyle name="InputBlueFontLocked" xfId="204"/>
    <cellStyle name="Integer" xfId="205"/>
    <cellStyle name="Large Page Heading" xfId="206"/>
    <cellStyle name="Main text" xfId="207"/>
    <cellStyle name="Millares [0]_10 AVERIAS MASIVAS + ANT" xfId="208"/>
    <cellStyle name="Millares_10 AVERIAS MASIVAS + ANT" xfId="209"/>
    <cellStyle name="Millions" xfId="210"/>
    <cellStyle name="minutes" xfId="211"/>
    <cellStyle name="Moneda [0]_10 AVERIAS MASIVAS + ANT" xfId="212"/>
    <cellStyle name="Moneda_10 AVERIAS MASIVAS + ANT" xfId="213"/>
    <cellStyle name="money" xfId="214"/>
    <cellStyle name="Multiple" xfId="215"/>
    <cellStyle name="no" xfId="216"/>
    <cellStyle name="No.s to 1dp" xfId="217"/>
    <cellStyle name="Norma11l" xfId="218"/>
    <cellStyle name="Normal" xfId="0" builtinId="0"/>
    <cellStyle name="Normal - Style1" xfId="219"/>
    <cellStyle name="Normal 10" xfId="862"/>
    <cellStyle name="Normal 11" xfId="863"/>
    <cellStyle name="Normal 12" xfId="812"/>
    <cellStyle name="Normal 13" xfId="694"/>
    <cellStyle name="Normal 2" xfId="8"/>
    <cellStyle name="Normal 2 2" xfId="7"/>
    <cellStyle name="Normal 3" xfId="9"/>
    <cellStyle name="Normal 4" xfId="4"/>
    <cellStyle name="Normal 4 2" xfId="11"/>
    <cellStyle name="Normal 5" xfId="688"/>
    <cellStyle name="Normal 6" xfId="813"/>
    <cellStyle name="Normal 7" xfId="824"/>
    <cellStyle name="Normal 8" xfId="844"/>
    <cellStyle name="Normal 9" xfId="692"/>
    <cellStyle name="Normál_HÖM I.vált." xfId="220"/>
    <cellStyle name="Normal_sheet" xfId="3"/>
    <cellStyle name="Normal1" xfId="221"/>
    <cellStyle name="Number" xfId="222"/>
    <cellStyle name="p" xfId="223"/>
    <cellStyle name="Page Number" xfId="224"/>
    <cellStyle name="pe" xfId="225"/>
    <cellStyle name="per" xfId="226"/>
    <cellStyle name="Percent" xfId="1" builtinId="5"/>
    <cellStyle name="Percent [0]" xfId="227"/>
    <cellStyle name="Percent [1]" xfId="228"/>
    <cellStyle name="Percent [2]" xfId="229"/>
    <cellStyle name="Percent 2" xfId="10"/>
    <cellStyle name="Pound" xfId="230"/>
    <cellStyle name="Pound [1]" xfId="231"/>
    <cellStyle name="Pound [2]" xfId="232"/>
    <cellStyle name="Price_Body" xfId="233"/>
    <cellStyle name="ptit" xfId="234"/>
    <cellStyle name="ptit 2" xfId="235"/>
    <cellStyle name="ptit 2 2" xfId="717"/>
    <cellStyle name="ptit 2 3" xfId="779"/>
    <cellStyle name="ptit 2 4" xfId="777"/>
    <cellStyle name="ptit 2 5" xfId="819"/>
    <cellStyle name="ptit 2 6" xfId="822"/>
    <cellStyle name="ptit 3" xfId="716"/>
    <cellStyle name="ptit 4" xfId="780"/>
    <cellStyle name="ptit 5" xfId="778"/>
    <cellStyle name="ptit 6" xfId="845"/>
    <cellStyle name="ptit 7" xfId="864"/>
    <cellStyle name="rat" xfId="236"/>
    <cellStyle name="rate" xfId="237"/>
    <cellStyle name="ratio" xfId="238"/>
    <cellStyle name="s" xfId="239"/>
    <cellStyle name="s 2" xfId="718"/>
    <cellStyle name="s 3" xfId="776"/>
    <cellStyle name="s 4" xfId="838"/>
    <cellStyle name="s 5" xfId="859"/>
    <cellStyle name="s 6" xfId="878"/>
    <cellStyle name="s_Assumptions" xfId="240"/>
    <cellStyle name="s_Assumptions 2" xfId="719"/>
    <cellStyle name="s_Assumptions 3" xfId="775"/>
    <cellStyle name="s_Assumptions 4" xfId="759"/>
    <cellStyle name="s_Assumptions 5" xfId="848"/>
    <cellStyle name="s_Assumptions 6" xfId="867"/>
    <cellStyle name="s_B_S_Ratios _B" xfId="241"/>
    <cellStyle name="s_B_S_Ratios _B 2" xfId="720"/>
    <cellStyle name="s_B_S_Ratios _B 3" xfId="774"/>
    <cellStyle name="s_B_S_Ratios _B 4" xfId="825"/>
    <cellStyle name="s_B_S_Ratios _B 5" xfId="849"/>
    <cellStyle name="s_B_S_Ratios _B 6" xfId="868"/>
    <cellStyle name="s_B_S_Ratios_T" xfId="242"/>
    <cellStyle name="s_B_S_Ratios_T 2" xfId="721"/>
    <cellStyle name="s_B_S_Ratios_T 3" xfId="773"/>
    <cellStyle name="s_B_S_Ratios_T 4" xfId="758"/>
    <cellStyle name="s_B_S_Ratios_T 5" xfId="850"/>
    <cellStyle name="s_B_S_Ratios_T 6" xfId="869"/>
    <cellStyle name="s_DCFLBO Code" xfId="243"/>
    <cellStyle name="s_DCFLBO Code_1" xfId="244"/>
    <cellStyle name="s_DCFLBO Code_1 2" xfId="722"/>
    <cellStyle name="s_DCFLBO Code_1 3" xfId="772"/>
    <cellStyle name="s_DCFLBO Code_1 4" xfId="827"/>
    <cellStyle name="s_DCFLBO Code_1 5" xfId="851"/>
    <cellStyle name="s_DCFLBO Code_1 6" xfId="870"/>
    <cellStyle name="s_Dilution" xfId="245"/>
    <cellStyle name="s_Dilution 2" xfId="723"/>
    <cellStyle name="s_Dilution 3" xfId="771"/>
    <cellStyle name="s_Dilution 4" xfId="840"/>
    <cellStyle name="s_Dilution 5" xfId="852"/>
    <cellStyle name="s_Dilution 6" xfId="871"/>
    <cellStyle name="s_Financials_B" xfId="246"/>
    <cellStyle name="s_Financials_B 2" xfId="724"/>
    <cellStyle name="s_Financials_B 3" xfId="770"/>
    <cellStyle name="s_Financials_B 4" xfId="841"/>
    <cellStyle name="s_Financials_B 5" xfId="853"/>
    <cellStyle name="s_Financials_B 6" xfId="872"/>
    <cellStyle name="s_Financials_T" xfId="247"/>
    <cellStyle name="s_Financials_T 2" xfId="725"/>
    <cellStyle name="s_Financials_T 3" xfId="769"/>
    <cellStyle name="s_Financials_T 4" xfId="830"/>
    <cellStyle name="s_Financials_T 5" xfId="854"/>
    <cellStyle name="s_Financials_T 6" xfId="873"/>
    <cellStyle name="s_Grouse+Pelican" xfId="248"/>
    <cellStyle name="s_Matrix_B" xfId="249"/>
    <cellStyle name="s_Matrix_B 2" xfId="726"/>
    <cellStyle name="s_Matrix_B 3" xfId="768"/>
    <cellStyle name="s_Matrix_B 4" xfId="831"/>
    <cellStyle name="s_Matrix_B 5" xfId="860"/>
    <cellStyle name="s_Matrix_B 6" xfId="879"/>
    <cellStyle name="s_Matrix_T" xfId="250"/>
    <cellStyle name="s_Matrix_T 2" xfId="727"/>
    <cellStyle name="s_Matrix_T 3" xfId="767"/>
    <cellStyle name="s_Matrix_T 4" xfId="832"/>
    <cellStyle name="s_Matrix_T 5" xfId="820"/>
    <cellStyle name="s_Matrix_T 6" xfId="823"/>
    <cellStyle name="s_Merger" xfId="251"/>
    <cellStyle name="s_Merger 2" xfId="728"/>
    <cellStyle name="s_Merger 3" xfId="766"/>
    <cellStyle name="s_Merger 4" xfId="833"/>
    <cellStyle name="s_Merger 5" xfId="855"/>
    <cellStyle name="s_Merger 6" xfId="874"/>
    <cellStyle name="s_model2" xfId="252"/>
    <cellStyle name="s_model2 2" xfId="729"/>
    <cellStyle name="s_model2 3" xfId="765"/>
    <cellStyle name="s_model2 4" xfId="834"/>
    <cellStyle name="s_model2 5" xfId="856"/>
    <cellStyle name="s_model2 6" xfId="875"/>
    <cellStyle name="s_P_L_Ratios" xfId="253"/>
    <cellStyle name="s_P_L_Ratios 2" xfId="730"/>
    <cellStyle name="s_P_L_Ratios 3" xfId="764"/>
    <cellStyle name="s_P_L_Ratios 4" xfId="835"/>
    <cellStyle name="s_P_L_Ratios 5" xfId="857"/>
    <cellStyle name="s_P_L_Ratios 6" xfId="876"/>
    <cellStyle name="s_P_L_Ratios_B" xfId="254"/>
    <cellStyle name="s_P_L_Ratios_B 2" xfId="731"/>
    <cellStyle name="s_P_L_Ratios_B 3" xfId="763"/>
    <cellStyle name="s_P_L_Ratios_B 4" xfId="836"/>
    <cellStyle name="s_P_L_Ratios_B 5" xfId="858"/>
    <cellStyle name="s_P_L_Ratios_B 6" xfId="877"/>
    <cellStyle name="s_S_By_S" xfId="255"/>
    <cellStyle name="s_S_By_S 2" xfId="732"/>
    <cellStyle name="s_S_By_S 3" xfId="762"/>
    <cellStyle name="s_S_By_S 4" xfId="837"/>
    <cellStyle name="s_S_By_S 5" xfId="861"/>
    <cellStyle name="s_S_By_S 6" xfId="880"/>
    <cellStyle name="s_Sheet5" xfId="256"/>
    <cellStyle name="s_Sheet5 2" xfId="733"/>
    <cellStyle name="s_Sheet5 3" xfId="761"/>
    <cellStyle name="s_Sheet5 4" xfId="842"/>
    <cellStyle name="s_Sheet5 5" xfId="846"/>
    <cellStyle name="s_Sheet5 6" xfId="865"/>
    <cellStyle name="s_Valuation " xfId="257"/>
    <cellStyle name="s_Valuation  2" xfId="734"/>
    <cellStyle name="s_Valuation  3" xfId="760"/>
    <cellStyle name="s_Valuation  4" xfId="757"/>
    <cellStyle name="s_Valuation  5" xfId="847"/>
    <cellStyle name="s_Valuation  6" xfId="866"/>
    <cellStyle name="SAPBorder" xfId="678"/>
    <cellStyle name="SAPDataCell" xfId="258"/>
    <cellStyle name="SAPDataTotalCell" xfId="662"/>
    <cellStyle name="SAPDimensionCell" xfId="259"/>
    <cellStyle name="SAPEditableDataCell" xfId="663"/>
    <cellStyle name="SAPEditableDataTotalCell" xfId="666"/>
    <cellStyle name="SAPEmphasized" xfId="684"/>
    <cellStyle name="SAPEmphasizedTotal" xfId="685"/>
    <cellStyle name="SAPExceptionLevel1" xfId="669"/>
    <cellStyle name="SAPExceptionLevel2" xfId="670"/>
    <cellStyle name="SAPExceptionLevel3" xfId="671"/>
    <cellStyle name="SAPExceptionLevel4" xfId="672"/>
    <cellStyle name="SAPExceptionLevel5" xfId="673"/>
    <cellStyle name="SAPExceptionLevel6" xfId="674"/>
    <cellStyle name="SAPExceptionLevel7" xfId="675"/>
    <cellStyle name="SAPExceptionLevel8" xfId="676"/>
    <cellStyle name="SAPExceptionLevel9" xfId="677"/>
    <cellStyle name="SAPHierarchyCell" xfId="686"/>
    <cellStyle name="SAPHierarchyCell0" xfId="260"/>
    <cellStyle name="SAPHierarchyCell1" xfId="680"/>
    <cellStyle name="SAPHierarchyCell2" xfId="681"/>
    <cellStyle name="SAPHierarchyCell3" xfId="682"/>
    <cellStyle name="SAPHierarchyCell4" xfId="683"/>
    <cellStyle name="SAPHierarchyOddCell" xfId="687"/>
    <cellStyle name="SAPLockedDataCell" xfId="665"/>
    <cellStyle name="SAPLockedDataTotalCell" xfId="668"/>
    <cellStyle name="SAPMemberCell" xfId="261"/>
    <cellStyle name="SAPMemberTotalCell" xfId="679"/>
    <cellStyle name="SAPReadonlyDataCell" xfId="664"/>
    <cellStyle name="SAPReadonlyDataTotalCell" xfId="667"/>
    <cellStyle name="Shading" xfId="262"/>
    <cellStyle name="Small Page Heading" xfId="263"/>
    <cellStyle name="ssp " xfId="264"/>
    <cellStyle name="ssp  2" xfId="736"/>
    <cellStyle name="ssp  3" xfId="753"/>
    <cellStyle name="ssp  4" xfId="829"/>
    <cellStyle name="ssp  5" xfId="816"/>
    <cellStyle name="ssp  6" xfId="689"/>
    <cellStyle name="Standard_Anpassen der Amortisation" xfId="265"/>
    <cellStyle name="t" xfId="266"/>
    <cellStyle name="t 2" xfId="267"/>
    <cellStyle name="t 2 2" xfId="739"/>
    <cellStyle name="t 2 3" xfId="750"/>
    <cellStyle name="t 2 4" xfId="826"/>
    <cellStyle name="t 2 5" xfId="814"/>
    <cellStyle name="t 2 6" xfId="691"/>
    <cellStyle name="t 3" xfId="738"/>
    <cellStyle name="t 4" xfId="751"/>
    <cellStyle name="t 5" xfId="839"/>
    <cellStyle name="t 6" xfId="818"/>
    <cellStyle name="t 7" xfId="821"/>
    <cellStyle name="t_Manager" xfId="268"/>
    <cellStyle name="t_Manager 2" xfId="269"/>
    <cellStyle name="t_Manager 2 2" xfId="741"/>
    <cellStyle name="t_Manager 2 3" xfId="748"/>
    <cellStyle name="t_Manager 2 4" xfId="755"/>
    <cellStyle name="t_Manager 2 5" xfId="735"/>
    <cellStyle name="t_Manager 2 6" xfId="843"/>
    <cellStyle name="t_Manager 3" xfId="740"/>
    <cellStyle name="t_Manager 4" xfId="749"/>
    <cellStyle name="t_Manager 5" xfId="828"/>
    <cellStyle name="t_Manager 6" xfId="815"/>
    <cellStyle name="t_Manager 7" xfId="690"/>
    <cellStyle name="Table Head" xfId="270"/>
    <cellStyle name="Table Head Aligned" xfId="271"/>
    <cellStyle name="Table Head Aligned 2" xfId="272"/>
    <cellStyle name="Table Head Aligned 2 2" xfId="744"/>
    <cellStyle name="Table Head Aligned 2 3" xfId="745"/>
    <cellStyle name="Table Head Aligned 2 4" xfId="747"/>
    <cellStyle name="Table Head Aligned 2 5" xfId="742"/>
    <cellStyle name="Table Head Aligned 2 6" xfId="754"/>
    <cellStyle name="Table Head Aligned 3" xfId="743"/>
    <cellStyle name="Table Head Aligned 4" xfId="746"/>
    <cellStyle name="Table Head Aligned 5" xfId="752"/>
    <cellStyle name="Table Head Aligned 6" xfId="737"/>
    <cellStyle name="Table Head Aligned 7" xfId="756"/>
    <cellStyle name="Table Head_Financial Input" xfId="273"/>
    <cellStyle name="Table Source" xfId="274"/>
    <cellStyle name="Table Text" xfId="275"/>
    <cellStyle name="Table Title" xfId="276"/>
    <cellStyle name="Table Units" xfId="277"/>
    <cellStyle name="Text 1" xfId="278"/>
    <cellStyle name="Text 2" xfId="279"/>
    <cellStyle name="Text Head 1" xfId="280"/>
    <cellStyle name="Text Head 2" xfId="281"/>
    <cellStyle name="Text Indent 1" xfId="282"/>
    <cellStyle name="Text Indent 2" xfId="283"/>
    <cellStyle name="To" xfId="284"/>
    <cellStyle name="TOC 1" xfId="285"/>
    <cellStyle name="TOC 2" xfId="286"/>
    <cellStyle name="Top_Double_Bottom" xfId="287"/>
    <cellStyle name="Total Currency" xfId="288"/>
    <cellStyle name="Total Normal" xfId="289"/>
    <cellStyle name="WIP" xfId="290"/>
    <cellStyle name="Wдhrung [0]_Compiling Utility Macros" xfId="291"/>
    <cellStyle name="Wдhrung_Compiling Utility Macros" xfId="292"/>
    <cellStyle name="Year" xfId="293"/>
    <cellStyle name="Zero" xfId="294"/>
    <cellStyle name="Акцент1 2" xfId="295"/>
    <cellStyle name="Акцент2 2" xfId="296"/>
    <cellStyle name="Акцент3 2" xfId="297"/>
    <cellStyle name="Акцент4 2" xfId="298"/>
    <cellStyle name="Акцент5 2" xfId="299"/>
    <cellStyle name="Акцент6 2" xfId="300"/>
    <cellStyle name="Ввод  2" xfId="301"/>
    <cellStyle name="Вывод 2" xfId="302"/>
    <cellStyle name="Вычисление 2" xfId="303"/>
    <cellStyle name="Заголовок 1 2" xfId="304"/>
    <cellStyle name="Заголовок 2 2" xfId="305"/>
    <cellStyle name="Заголовок 3 2" xfId="306"/>
    <cellStyle name="Заголовок 4 2" xfId="307"/>
    <cellStyle name="Итог 2" xfId="308"/>
    <cellStyle name="Контрольная ячейка 2" xfId="309"/>
    <cellStyle name="Название 2" xfId="310"/>
    <cellStyle name="Нейтральный 2" xfId="311"/>
    <cellStyle name="Обычный 10" xfId="312"/>
    <cellStyle name="Обычный 100" xfId="313"/>
    <cellStyle name="Обычный 101" xfId="314"/>
    <cellStyle name="Обычный 102" xfId="315"/>
    <cellStyle name="Обычный 103" xfId="316"/>
    <cellStyle name="Обычный 104" xfId="317"/>
    <cellStyle name="Обычный 105" xfId="318"/>
    <cellStyle name="Обычный 106" xfId="319"/>
    <cellStyle name="Обычный 107" xfId="320"/>
    <cellStyle name="Обычный 108" xfId="321"/>
    <cellStyle name="Обычный 109" xfId="322"/>
    <cellStyle name="Обычный 11" xfId="323"/>
    <cellStyle name="Обычный 110" xfId="324"/>
    <cellStyle name="Обычный 111" xfId="325"/>
    <cellStyle name="Обычный 112" xfId="326"/>
    <cellStyle name="Обычный 113" xfId="327"/>
    <cellStyle name="Обычный 114" xfId="328"/>
    <cellStyle name="Обычный 115" xfId="329"/>
    <cellStyle name="Обычный 116" xfId="330"/>
    <cellStyle name="Обычный 117" xfId="331"/>
    <cellStyle name="Обычный 118" xfId="332"/>
    <cellStyle name="Обычный 119" xfId="333"/>
    <cellStyle name="Обычный 12" xfId="334"/>
    <cellStyle name="Обычный 120" xfId="335"/>
    <cellStyle name="Обычный 121" xfId="336"/>
    <cellStyle name="Обычный 122" xfId="337"/>
    <cellStyle name="Обычный 123" xfId="338"/>
    <cellStyle name="Обычный 124" xfId="339"/>
    <cellStyle name="Обычный 125" xfId="340"/>
    <cellStyle name="Обычный 126" xfId="341"/>
    <cellStyle name="Обычный 127" xfId="342"/>
    <cellStyle name="Обычный 128" xfId="343"/>
    <cellStyle name="Обычный 129" xfId="344"/>
    <cellStyle name="Обычный 13" xfId="345"/>
    <cellStyle name="Обычный 130" xfId="346"/>
    <cellStyle name="Обычный 131" xfId="347"/>
    <cellStyle name="Обычный 132" xfId="348"/>
    <cellStyle name="Обычный 133" xfId="349"/>
    <cellStyle name="Обычный 134" xfId="350"/>
    <cellStyle name="Обычный 135" xfId="351"/>
    <cellStyle name="Обычный 136" xfId="352"/>
    <cellStyle name="Обычный 137" xfId="353"/>
    <cellStyle name="Обычный 138" xfId="354"/>
    <cellStyle name="Обычный 139" xfId="355"/>
    <cellStyle name="Обычный 14" xfId="356"/>
    <cellStyle name="Обычный 140" xfId="357"/>
    <cellStyle name="Обычный 141" xfId="358"/>
    <cellStyle name="Обычный 142" xfId="359"/>
    <cellStyle name="Обычный 143" xfId="360"/>
    <cellStyle name="Обычный 144" xfId="361"/>
    <cellStyle name="Обычный 145" xfId="362"/>
    <cellStyle name="Обычный 146" xfId="363"/>
    <cellStyle name="Обычный 147" xfId="364"/>
    <cellStyle name="Обычный 148" xfId="365"/>
    <cellStyle name="Обычный 149" xfId="366"/>
    <cellStyle name="Обычный 15" xfId="367"/>
    <cellStyle name="Обычный 150" xfId="368"/>
    <cellStyle name="Обычный 151" xfId="369"/>
    <cellStyle name="Обычный 152" xfId="370"/>
    <cellStyle name="Обычный 153" xfId="371"/>
    <cellStyle name="Обычный 154" xfId="372"/>
    <cellStyle name="Обычный 155" xfId="373"/>
    <cellStyle name="Обычный 156" xfId="374"/>
    <cellStyle name="Обычный 157" xfId="375"/>
    <cellStyle name="Обычный 158" xfId="376"/>
    <cellStyle name="Обычный 159" xfId="377"/>
    <cellStyle name="Обычный 16" xfId="378"/>
    <cellStyle name="Обычный 160" xfId="379"/>
    <cellStyle name="Обычный 161" xfId="380"/>
    <cellStyle name="Обычный 162" xfId="381"/>
    <cellStyle name="Обычный 163" xfId="382"/>
    <cellStyle name="Обычный 164" xfId="383"/>
    <cellStyle name="Обычный 165" xfId="384"/>
    <cellStyle name="Обычный 166" xfId="385"/>
    <cellStyle name="Обычный 167" xfId="386"/>
    <cellStyle name="Обычный 168" xfId="387"/>
    <cellStyle name="Обычный 169" xfId="388"/>
    <cellStyle name="Обычный 17" xfId="389"/>
    <cellStyle name="Обычный 170" xfId="390"/>
    <cellStyle name="Обычный 171" xfId="391"/>
    <cellStyle name="Обычный 172" xfId="392"/>
    <cellStyle name="Обычный 173" xfId="393"/>
    <cellStyle name="Обычный 174" xfId="394"/>
    <cellStyle name="Обычный 175" xfId="395"/>
    <cellStyle name="Обычный 176" xfId="396"/>
    <cellStyle name="Обычный 177" xfId="397"/>
    <cellStyle name="Обычный 178" xfId="398"/>
    <cellStyle name="Обычный 179" xfId="399"/>
    <cellStyle name="Обычный 18" xfId="400"/>
    <cellStyle name="Обычный 180" xfId="401"/>
    <cellStyle name="Обычный 181" xfId="402"/>
    <cellStyle name="Обычный 182" xfId="403"/>
    <cellStyle name="Обычный 183" xfId="404"/>
    <cellStyle name="Обычный 184" xfId="405"/>
    <cellStyle name="Обычный 185" xfId="406"/>
    <cellStyle name="Обычный 186" xfId="407"/>
    <cellStyle name="Обычный 187" xfId="408"/>
    <cellStyle name="Обычный 188" xfId="409"/>
    <cellStyle name="Обычный 189" xfId="410"/>
    <cellStyle name="Обычный 19" xfId="411"/>
    <cellStyle name="Обычный 190" xfId="412"/>
    <cellStyle name="Обычный 191" xfId="413"/>
    <cellStyle name="Обычный 192" xfId="414"/>
    <cellStyle name="Обычный 193" xfId="415"/>
    <cellStyle name="Обычный 194" xfId="416"/>
    <cellStyle name="Обычный 195" xfId="417"/>
    <cellStyle name="Обычный 196" xfId="418"/>
    <cellStyle name="Обычный 197" xfId="419"/>
    <cellStyle name="Обычный 198" xfId="420"/>
    <cellStyle name="Обычный 199" xfId="421"/>
    <cellStyle name="Обычный 2" xfId="422"/>
    <cellStyle name="Обычный 2 2" xfId="423"/>
    <cellStyle name="Обычный 2 4" xfId="5"/>
    <cellStyle name="Обычный 20" xfId="424"/>
    <cellStyle name="Обычный 200" xfId="425"/>
    <cellStyle name="Обычный 201" xfId="426"/>
    <cellStyle name="Обычный 202" xfId="427"/>
    <cellStyle name="Обычный 203" xfId="428"/>
    <cellStyle name="Обычный 204" xfId="429"/>
    <cellStyle name="Обычный 205" xfId="430"/>
    <cellStyle name="Обычный 206" xfId="431"/>
    <cellStyle name="Обычный 207" xfId="432"/>
    <cellStyle name="Обычный 208" xfId="433"/>
    <cellStyle name="Обычный 209" xfId="434"/>
    <cellStyle name="Обычный 21" xfId="435"/>
    <cellStyle name="Обычный 210" xfId="436"/>
    <cellStyle name="Обычный 211" xfId="437"/>
    <cellStyle name="Обычный 212" xfId="438"/>
    <cellStyle name="Обычный 213" xfId="439"/>
    <cellStyle name="Обычный 214" xfId="440"/>
    <cellStyle name="Обычный 215" xfId="441"/>
    <cellStyle name="Обычный 216" xfId="442"/>
    <cellStyle name="Обычный 217" xfId="443"/>
    <cellStyle name="Обычный 218" xfId="444"/>
    <cellStyle name="Обычный 219" xfId="445"/>
    <cellStyle name="Обычный 22" xfId="446"/>
    <cellStyle name="Обычный 220" xfId="447"/>
    <cellStyle name="Обычный 221" xfId="448"/>
    <cellStyle name="Обычный 222" xfId="449"/>
    <cellStyle name="Обычный 223" xfId="450"/>
    <cellStyle name="Обычный 224" xfId="451"/>
    <cellStyle name="Обычный 225" xfId="452"/>
    <cellStyle name="Обычный 226" xfId="453"/>
    <cellStyle name="Обычный 227" xfId="454"/>
    <cellStyle name="Обычный 228" xfId="455"/>
    <cellStyle name="Обычный 229" xfId="456"/>
    <cellStyle name="Обычный 23" xfId="457"/>
    <cellStyle name="Обычный 230" xfId="458"/>
    <cellStyle name="Обычный 231" xfId="459"/>
    <cellStyle name="Обычный 232" xfId="460"/>
    <cellStyle name="Обычный 233" xfId="461"/>
    <cellStyle name="Обычный 234" xfId="462"/>
    <cellStyle name="Обычный 235" xfId="463"/>
    <cellStyle name="Обычный 236" xfId="464"/>
    <cellStyle name="Обычный 237" xfId="465"/>
    <cellStyle name="Обычный 238" xfId="466"/>
    <cellStyle name="Обычный 239" xfId="467"/>
    <cellStyle name="Обычный 24" xfId="468"/>
    <cellStyle name="Обычный 240" xfId="469"/>
    <cellStyle name="Обычный 241" xfId="470"/>
    <cellStyle name="Обычный 242" xfId="471"/>
    <cellStyle name="Обычный 243" xfId="472"/>
    <cellStyle name="Обычный 244" xfId="473"/>
    <cellStyle name="Обычный 245" xfId="474"/>
    <cellStyle name="Обычный 246" xfId="475"/>
    <cellStyle name="Обычный 247" xfId="476"/>
    <cellStyle name="Обычный 248" xfId="477"/>
    <cellStyle name="Обычный 249" xfId="478"/>
    <cellStyle name="Обычный 25" xfId="479"/>
    <cellStyle name="Обычный 250" xfId="480"/>
    <cellStyle name="Обычный 251" xfId="481"/>
    <cellStyle name="Обычный 252" xfId="482"/>
    <cellStyle name="Обычный 253" xfId="483"/>
    <cellStyle name="Обычный 254" xfId="484"/>
    <cellStyle name="Обычный 255" xfId="485"/>
    <cellStyle name="Обычный 256" xfId="486"/>
    <cellStyle name="Обычный 257" xfId="487"/>
    <cellStyle name="Обычный 258" xfId="488"/>
    <cellStyle name="Обычный 259" xfId="661"/>
    <cellStyle name="Обычный 26" xfId="489"/>
    <cellStyle name="Обычный 260" xfId="12"/>
    <cellStyle name="Обычный 27" xfId="490"/>
    <cellStyle name="Обычный 28" xfId="491"/>
    <cellStyle name="Обычный 29" xfId="492"/>
    <cellStyle name="Обычный 3" xfId="493"/>
    <cellStyle name="Обычный 3 2" xfId="494"/>
    <cellStyle name="Обычный 30" xfId="495"/>
    <cellStyle name="Обычный 31" xfId="496"/>
    <cellStyle name="Обычный 32" xfId="497"/>
    <cellStyle name="Обычный 33" xfId="498"/>
    <cellStyle name="Обычный 34" xfId="499"/>
    <cellStyle name="Обычный 35" xfId="500"/>
    <cellStyle name="Обычный 36" xfId="501"/>
    <cellStyle name="Обычный 37" xfId="502"/>
    <cellStyle name="Обычный 38" xfId="503"/>
    <cellStyle name="Обычный 39" xfId="504"/>
    <cellStyle name="Обычный 4" xfId="505"/>
    <cellStyle name="Обычный 4 2" xfId="506"/>
    <cellStyle name="Обычный 40" xfId="507"/>
    <cellStyle name="Обычный 41" xfId="508"/>
    <cellStyle name="Обычный 42" xfId="509"/>
    <cellStyle name="Обычный 43" xfId="510"/>
    <cellStyle name="Обычный 44" xfId="511"/>
    <cellStyle name="Обычный 45" xfId="512"/>
    <cellStyle name="Обычный 46" xfId="513"/>
    <cellStyle name="Обычный 47" xfId="514"/>
    <cellStyle name="Обычный 48" xfId="515"/>
    <cellStyle name="Обычный 49" xfId="516"/>
    <cellStyle name="Обычный 5" xfId="517"/>
    <cellStyle name="Обычный 5 2" xfId="518"/>
    <cellStyle name="Обычный 5 3" xfId="519"/>
    <cellStyle name="Обычный 50" xfId="520"/>
    <cellStyle name="Обычный 51" xfId="521"/>
    <cellStyle name="Обычный 52" xfId="522"/>
    <cellStyle name="Обычный 53" xfId="523"/>
    <cellStyle name="Обычный 54" xfId="524"/>
    <cellStyle name="Обычный 55" xfId="525"/>
    <cellStyle name="Обычный 56" xfId="526"/>
    <cellStyle name="Обычный 57" xfId="527"/>
    <cellStyle name="Обычный 58" xfId="528"/>
    <cellStyle name="Обычный 59" xfId="529"/>
    <cellStyle name="Обычный 6" xfId="530"/>
    <cellStyle name="Обычный 60" xfId="531"/>
    <cellStyle name="Обычный 61" xfId="532"/>
    <cellStyle name="Обычный 62" xfId="533"/>
    <cellStyle name="Обычный 63" xfId="534"/>
    <cellStyle name="Обычный 64" xfId="535"/>
    <cellStyle name="Обычный 65" xfId="536"/>
    <cellStyle name="Обычный 66" xfId="537"/>
    <cellStyle name="Обычный 67" xfId="538"/>
    <cellStyle name="Обычный 68" xfId="539"/>
    <cellStyle name="Обычный 69" xfId="540"/>
    <cellStyle name="Обычный 7" xfId="541"/>
    <cellStyle name="Обычный 70" xfId="542"/>
    <cellStyle name="Обычный 71" xfId="543"/>
    <cellStyle name="Обычный 72" xfId="544"/>
    <cellStyle name="Обычный 73" xfId="545"/>
    <cellStyle name="Обычный 74" xfId="546"/>
    <cellStyle name="Обычный 75" xfId="547"/>
    <cellStyle name="Обычный 76" xfId="548"/>
    <cellStyle name="Обычный 77" xfId="549"/>
    <cellStyle name="Обычный 78" xfId="550"/>
    <cellStyle name="Обычный 79" xfId="551"/>
    <cellStyle name="Обычный 8" xfId="552"/>
    <cellStyle name="Обычный 80" xfId="553"/>
    <cellStyle name="Обычный 81" xfId="554"/>
    <cellStyle name="Обычный 82" xfId="555"/>
    <cellStyle name="Обычный 83" xfId="556"/>
    <cellStyle name="Обычный 84" xfId="557"/>
    <cellStyle name="Обычный 85" xfId="558"/>
    <cellStyle name="Обычный 86" xfId="559"/>
    <cellStyle name="Обычный 87" xfId="560"/>
    <cellStyle name="Обычный 88" xfId="561"/>
    <cellStyle name="Обычный 89" xfId="562"/>
    <cellStyle name="Обычный 9" xfId="563"/>
    <cellStyle name="Обычный 90" xfId="564"/>
    <cellStyle name="Обычный 91" xfId="565"/>
    <cellStyle name="Обычный 92" xfId="566"/>
    <cellStyle name="Обычный 93" xfId="567"/>
    <cellStyle name="Обычный 94" xfId="568"/>
    <cellStyle name="Обычный 95" xfId="569"/>
    <cellStyle name="Обычный 96" xfId="570"/>
    <cellStyle name="Обычный 97" xfId="571"/>
    <cellStyle name="Обычный 98" xfId="572"/>
    <cellStyle name="Обычный 99" xfId="573"/>
    <cellStyle name="Обычный_отчет 9 месяцев 2008" xfId="2"/>
    <cellStyle name="Плохой 2" xfId="574"/>
    <cellStyle name="Пояснение 2" xfId="575"/>
    <cellStyle name="Примечание 2" xfId="576"/>
    <cellStyle name="Процентный 10" xfId="577"/>
    <cellStyle name="Процентный 11" xfId="578"/>
    <cellStyle name="Процентный 12" xfId="579"/>
    <cellStyle name="Процентный 13" xfId="580"/>
    <cellStyle name="Процентный 14" xfId="581"/>
    <cellStyle name="Процентный 15" xfId="582"/>
    <cellStyle name="Процентный 16" xfId="660"/>
    <cellStyle name="Процентный 2" xfId="583"/>
    <cellStyle name="Процентный 2 2" xfId="584"/>
    <cellStyle name="Процентный 2 3" xfId="585"/>
    <cellStyle name="Процентный 3" xfId="586"/>
    <cellStyle name="Процентный 4" xfId="587"/>
    <cellStyle name="Процентный 5" xfId="588"/>
    <cellStyle name="Процентный 6" xfId="589"/>
    <cellStyle name="Процентный 7" xfId="590"/>
    <cellStyle name="Процентный 8" xfId="591"/>
    <cellStyle name="Процентный 9" xfId="592"/>
    <cellStyle name="Связанная ячейка 2" xfId="593"/>
    <cellStyle name="Стиль 1" xfId="594"/>
    <cellStyle name="Стиль 1 10" xfId="595"/>
    <cellStyle name="Стиль 1 11" xfId="596"/>
    <cellStyle name="Стиль 1 12" xfId="597"/>
    <cellStyle name="Стиль 1 13" xfId="598"/>
    <cellStyle name="Стиль 1 14" xfId="599"/>
    <cellStyle name="Стиль 1 15" xfId="600"/>
    <cellStyle name="Стиль 1 16" xfId="601"/>
    <cellStyle name="Стиль 1 17" xfId="602"/>
    <cellStyle name="Стиль 1 18" xfId="603"/>
    <cellStyle name="Стиль 1 19" xfId="604"/>
    <cellStyle name="Стиль 1 2" xfId="605"/>
    <cellStyle name="Стиль 1 20" xfId="606"/>
    <cellStyle name="Стиль 1 21" xfId="607"/>
    <cellStyle name="Стиль 1 22" xfId="608"/>
    <cellStyle name="Стиль 1 23" xfId="609"/>
    <cellStyle name="Стиль 1 24" xfId="610"/>
    <cellStyle name="Стиль 1 25" xfId="611"/>
    <cellStyle name="Стиль 1 26" xfId="612"/>
    <cellStyle name="Стиль 1 27" xfId="613"/>
    <cellStyle name="Стиль 1 28" xfId="614"/>
    <cellStyle name="Стиль 1 29" xfId="615"/>
    <cellStyle name="Стиль 1 3" xfId="616"/>
    <cellStyle name="Стиль 1 30" xfId="617"/>
    <cellStyle name="Стиль 1 31" xfId="618"/>
    <cellStyle name="Стиль 1 32" xfId="619"/>
    <cellStyle name="Стиль 1 33" xfId="620"/>
    <cellStyle name="Стиль 1 34" xfId="621"/>
    <cellStyle name="Стиль 1 35" xfId="622"/>
    <cellStyle name="Стиль 1 36" xfId="623"/>
    <cellStyle name="Стиль 1 37" xfId="624"/>
    <cellStyle name="Стиль 1 38" xfId="625"/>
    <cellStyle name="Стиль 1 39" xfId="626"/>
    <cellStyle name="Стиль 1 4" xfId="627"/>
    <cellStyle name="Стиль 1 40" xfId="628"/>
    <cellStyle name="Стиль 1 41" xfId="629"/>
    <cellStyle name="Стиль 1 42" xfId="630"/>
    <cellStyle name="Стиль 1 43" xfId="631"/>
    <cellStyle name="Стиль 1 44" xfId="632"/>
    <cellStyle name="Стиль 1 45" xfId="633"/>
    <cellStyle name="Стиль 1 46" xfId="634"/>
    <cellStyle name="Стиль 1 47" xfId="635"/>
    <cellStyle name="Стиль 1 48" xfId="636"/>
    <cellStyle name="Стиль 1 49" xfId="637"/>
    <cellStyle name="Стиль 1 5" xfId="638"/>
    <cellStyle name="Стиль 1 50" xfId="639"/>
    <cellStyle name="Стиль 1 51" xfId="640"/>
    <cellStyle name="Стиль 1 52" xfId="641"/>
    <cellStyle name="Стиль 1 53" xfId="642"/>
    <cellStyle name="Стиль 1 6" xfId="643"/>
    <cellStyle name="Стиль 1 7" xfId="644"/>
    <cellStyle name="Стиль 1 8" xfId="645"/>
    <cellStyle name="Стиль 1 9" xfId="646"/>
    <cellStyle name="Стиль 1_Лист1" xfId="647"/>
    <cellStyle name="Текст предупреждения 2" xfId="648"/>
    <cellStyle name="Тысячи [0]_3Com" xfId="649"/>
    <cellStyle name="Тысячи_3Com" xfId="650"/>
    <cellStyle name="Финансовый 2" xfId="651"/>
    <cellStyle name="Финансовый 3" xfId="652"/>
    <cellStyle name="Финансовый 3 2" xfId="653"/>
    <cellStyle name="Финансовый 4" xfId="654"/>
    <cellStyle name="Финансовый 5" xfId="655"/>
    <cellStyle name="Финансовый 6" xfId="656"/>
    <cellStyle name="Финансовый 7" xfId="657"/>
    <cellStyle name="Финансовый 8" xfId="659"/>
    <cellStyle name="Хороший 2" xfId="658"/>
  </cellStyles>
  <dxfs count="0"/>
  <tableStyles count="0" defaultTableStyle="TableStyleMedium2" defaultPivotStyle="PivotStyleMedium9"/>
  <colors>
    <mruColors>
      <color rgb="FF0072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149860</xdr:colOff>
      <xdr:row>1</xdr:row>
      <xdr:rowOff>162559</xdr:rowOff>
    </xdr:from>
    <xdr:to>
      <xdr:col>5</xdr:col>
      <xdr:colOff>639648</xdr:colOff>
      <xdr:row>9</xdr:row>
      <xdr:rowOff>76200</xdr:rowOff>
    </xdr:to>
    <xdr:pic>
      <xdr:nvPicPr>
        <xdr:cNvPr id="3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" y="340359"/>
          <a:ext cx="3880688" cy="133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20</xdr:row>
      <xdr:rowOff>0</xdr:rowOff>
    </xdr:from>
    <xdr:to>
      <xdr:col>5</xdr:col>
      <xdr:colOff>661527</xdr:colOff>
      <xdr:row>32</xdr:row>
      <xdr:rowOff>120145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4699000"/>
          <a:ext cx="3836527" cy="2253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6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38101</xdr:rowOff>
    </xdr:from>
    <xdr:to>
      <xdr:col>11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vitskiy/TRASH/Home%20-Romove/3Q%202019/Trading%20Update/Store%20Portfolio_30.09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PL - DM stores"/>
      <sheetName val="PL - Online"/>
      <sheetName val="PL- ELC"/>
      <sheetName val="PL-Kazakhstan"/>
      <sheetName val="Debt"/>
      <sheetName val="WC &amp; CAPEX"/>
      <sheetName val="PL by stores"/>
      <sheetName val="Действующие магазины РФ"/>
      <sheetName val="Действующие магазины Казахстан"/>
      <sheetName val="Действующие магазины Беларусь"/>
      <sheetName val="ELC"/>
      <sheetName val="Zoozavr"/>
      <sheetName val="Закрытые магаз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77">
          <cell r="H677">
            <v>751375.9599999995</v>
          </cell>
        </row>
        <row r="678">
          <cell r="H678">
            <v>31394.949999999997</v>
          </cell>
        </row>
        <row r="679">
          <cell r="H679">
            <v>4492.04</v>
          </cell>
        </row>
        <row r="680">
          <cell r="H680">
            <v>5978.2999999999993</v>
          </cell>
        </row>
        <row r="681">
          <cell r="H681">
            <v>1181.8200000000002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60" zoomScaleNormal="60" workbookViewId="0">
      <selection activeCell="I14" sqref="I14"/>
    </sheetView>
  </sheetViews>
  <sheetFormatPr defaultColWidth="0" defaultRowHeight="14.4" zeroHeight="1"/>
  <cols>
    <col min="1" max="1" width="5" customWidth="1"/>
    <col min="2" max="13" width="11.109375" customWidth="1"/>
    <col min="14" max="16" width="8.88671875" customWidth="1"/>
    <col min="17" max="16384" width="8.88671875" hidden="1"/>
  </cols>
  <sheetData>
    <row r="1" spans="2:16" ht="14.4" customHeight="1"/>
    <row r="2" spans="2:16">
      <c r="P2" s="120" t="s">
        <v>7</v>
      </c>
    </row>
    <row r="3" spans="2:16">
      <c r="P3" s="120"/>
    </row>
    <row r="4" spans="2:16">
      <c r="P4" s="120"/>
    </row>
    <row r="5" spans="2:16">
      <c r="P5" s="120"/>
    </row>
    <row r="6" spans="2:16">
      <c r="P6" s="120"/>
    </row>
    <row r="7" spans="2:16">
      <c r="P7" s="120"/>
    </row>
    <row r="8" spans="2:16">
      <c r="P8" s="120"/>
    </row>
    <row r="9" spans="2:16">
      <c r="P9" s="120"/>
    </row>
    <row r="10" spans="2:16">
      <c r="P10" s="120"/>
    </row>
    <row r="11" spans="2:16">
      <c r="P11" s="120"/>
    </row>
    <row r="12" spans="2:16" ht="48">
      <c r="B12" s="114" t="s">
        <v>0</v>
      </c>
      <c r="P12" s="120"/>
    </row>
    <row r="13" spans="2:16" ht="22.2">
      <c r="B13" s="115" t="s">
        <v>1</v>
      </c>
      <c r="P13" s="120"/>
    </row>
    <row r="14" spans="2:16" ht="22.2">
      <c r="B14" s="115" t="s">
        <v>2</v>
      </c>
      <c r="P14" s="120"/>
    </row>
    <row r="15" spans="2:16" ht="22.2">
      <c r="B15" s="115" t="s">
        <v>3</v>
      </c>
      <c r="P15" s="120"/>
    </row>
    <row r="16" spans="2:16" ht="22.2">
      <c r="B16" s="115" t="s">
        <v>4</v>
      </c>
      <c r="P16" s="120"/>
    </row>
    <row r="17" spans="2:16" ht="22.2">
      <c r="B17" s="115" t="s">
        <v>141</v>
      </c>
      <c r="P17" s="120"/>
    </row>
    <row r="18" spans="2:16" ht="22.2">
      <c r="B18" s="115" t="s">
        <v>6</v>
      </c>
      <c r="P18" s="120"/>
    </row>
    <row r="19" spans="2:16" ht="22.2">
      <c r="B19" s="115" t="s">
        <v>143</v>
      </c>
      <c r="P19" s="120"/>
    </row>
    <row r="20" spans="2:16">
      <c r="P20" s="120"/>
    </row>
    <row r="21" spans="2:16">
      <c r="P21" s="120"/>
    </row>
    <row r="22" spans="2:16">
      <c r="P22" s="120"/>
    </row>
    <row r="23" spans="2:16">
      <c r="P23" s="120"/>
    </row>
    <row r="24" spans="2:16">
      <c r="P24" s="120"/>
    </row>
    <row r="25" spans="2:16">
      <c r="P25" s="120"/>
    </row>
    <row r="26" spans="2:16">
      <c r="P26" s="120"/>
    </row>
    <row r="27" spans="2:16">
      <c r="P27" s="120"/>
    </row>
    <row r="28" spans="2:16">
      <c r="P28" s="120"/>
    </row>
    <row r="29" spans="2:16">
      <c r="P29" s="120"/>
    </row>
    <row r="30" spans="2:16">
      <c r="P30" s="120"/>
    </row>
    <row r="31" spans="2:16">
      <c r="P31" s="120"/>
    </row>
    <row r="32" spans="2:16">
      <c r="P32" s="120"/>
    </row>
    <row r="33" spans="16:16">
      <c r="P33" s="120"/>
    </row>
    <row r="34" spans="16:16">
      <c r="P34" s="120"/>
    </row>
    <row r="35" spans="16:16"/>
    <row r="36" spans="16:16" hidden="1"/>
    <row r="37" spans="16:16" hidden="1"/>
    <row r="38" spans="16:16"/>
    <row r="39" spans="16:16"/>
  </sheetData>
  <mergeCells count="1">
    <mergeCell ref="P2:P34"/>
  </mergeCells>
  <hyperlinks>
    <hyperlink ref="B13" location="'Profit and Loss'!A1" display="Consolidated Statement of Profit or Loss"/>
    <hyperlink ref="B14" location="'Financial Position'!A1" display="Consolidated Statement of Financial Position"/>
    <hyperlink ref="B15" location="'Cash Flows'!A1" display="Consolidated Statement of Cash Flows"/>
    <hyperlink ref="B16" location="'SG&amp;A'!A1" display="Selling, General and Administrative Expenses (SG&amp;A)"/>
    <hyperlink ref="B17" location="EBITDA!A1" display="EBITDA"/>
    <hyperlink ref="B18" location="DEBT!A1" display="Debt Structure"/>
  </hyperlinks>
  <pageMargins left="0.7" right="0.7" top="0.75" bottom="0.75" header="0.3" footer="0.3"/>
  <pageSetup paperSize="9" scale="52" orientation="portrait" r:id="rId1"/>
  <colBreaks count="1" manualBreakCount="1">
    <brk id="25" max="48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E31"/>
  <sheetViews>
    <sheetView showGridLines="0" workbookViewId="0">
      <pane xSplit="3" ySplit="7" topLeftCell="D8" activePane="bottomRight" state="frozen"/>
      <selection activeCell="O30" sqref="O30"/>
      <selection pane="topRight" activeCell="O30" sqref="O30"/>
      <selection pane="bottomLeft" activeCell="O30" sqref="O30"/>
      <selection pane="bottomRight" activeCell="H2" sqref="H2"/>
    </sheetView>
  </sheetViews>
  <sheetFormatPr defaultRowHeight="14.4"/>
  <cols>
    <col min="1" max="1" width="3.33203125" customWidth="1"/>
    <col min="2" max="2" width="52.44140625" customWidth="1"/>
    <col min="3" max="3" width="8.33203125" customWidth="1"/>
    <col min="4" max="6" width="10.88671875" style="54" customWidth="1"/>
    <col min="7" max="11" width="10.88671875" customWidth="1"/>
    <col min="12" max="12" width="8.88671875" customWidth="1"/>
    <col min="13" max="13" width="11.33203125" customWidth="1"/>
    <col min="14" max="14" width="10.33203125" customWidth="1"/>
    <col min="15" max="15" width="32.109375" customWidth="1"/>
    <col min="16" max="27" width="11" style="54" customWidth="1"/>
    <col min="28" max="28" width="12" style="54" customWidth="1"/>
    <col min="29" max="29" width="12.44140625" customWidth="1"/>
    <col min="30" max="30" width="10.6640625" customWidth="1"/>
    <col min="31" max="31" width="12" customWidth="1"/>
    <col min="32" max="38" width="13.33203125" customWidth="1"/>
    <col min="39" max="39" width="12" customWidth="1"/>
    <col min="40" max="42" width="13.33203125" customWidth="1"/>
    <col min="43" max="43" width="12.6640625" customWidth="1"/>
    <col min="44" max="45" width="13.33203125" customWidth="1"/>
    <col min="46" max="46" width="12.109375" customWidth="1"/>
    <col min="47" max="47" width="12.109375" style="89" customWidth="1"/>
    <col min="48" max="48" width="8.88671875" customWidth="1"/>
    <col min="49" max="52" width="12.44140625" customWidth="1"/>
    <col min="53" max="53" width="10.5546875" customWidth="1"/>
    <col min="54" max="54" width="12.44140625" style="54" customWidth="1"/>
    <col min="55" max="55" width="11.33203125" customWidth="1"/>
    <col min="56" max="56" width="11.33203125" style="89" customWidth="1"/>
    <col min="57" max="57" width="9.5546875" bestFit="1" customWidth="1"/>
  </cols>
  <sheetData>
    <row r="2" spans="2:57" ht="34.799999999999997">
      <c r="B2" s="116" t="str">
        <f>Content!B13</f>
        <v>Consolidated Statement of Profit or Loss</v>
      </c>
      <c r="C2" s="113"/>
      <c r="G2" s="78"/>
    </row>
    <row r="3" spans="2:57" ht="16.8">
      <c r="B3" s="117" t="s">
        <v>0</v>
      </c>
      <c r="D3" s="78"/>
    </row>
    <row r="4" spans="2:57" s="75" customFormat="1">
      <c r="D4" s="76"/>
      <c r="E4" s="76"/>
      <c r="F4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/>
      <c r="AB4"/>
      <c r="AC4"/>
      <c r="AD4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W4" s="76"/>
      <c r="AX4" s="76"/>
      <c r="AY4" s="102" t="s">
        <v>190</v>
      </c>
      <c r="AZ4" s="76"/>
      <c r="BB4" s="76"/>
    </row>
    <row r="5" spans="2:57" s="75" customFormat="1" ht="15" thickBot="1">
      <c r="B5" s="77"/>
      <c r="D5" s="86" t="s">
        <v>173</v>
      </c>
      <c r="E5" s="86" t="s">
        <v>173</v>
      </c>
      <c r="F5" s="86" t="s">
        <v>173</v>
      </c>
      <c r="G5" s="86" t="s">
        <v>179</v>
      </c>
      <c r="H5" s="86" t="s">
        <v>179</v>
      </c>
      <c r="I5" s="86" t="s">
        <v>179</v>
      </c>
      <c r="J5" s="86" t="s">
        <v>179</v>
      </c>
      <c r="K5" s="86" t="s">
        <v>179</v>
      </c>
      <c r="M5" s="86" t="s">
        <v>179</v>
      </c>
      <c r="N5" s="86" t="s">
        <v>179</v>
      </c>
      <c r="P5" s="86" t="s">
        <v>173</v>
      </c>
      <c r="Q5" s="86" t="s">
        <v>173</v>
      </c>
      <c r="R5" s="86" t="s">
        <v>173</v>
      </c>
      <c r="S5" s="86" t="s">
        <v>173</v>
      </c>
      <c r="T5" s="86" t="s">
        <v>173</v>
      </c>
      <c r="U5" s="86" t="s">
        <v>173</v>
      </c>
      <c r="V5" s="86" t="s">
        <v>173</v>
      </c>
      <c r="W5" s="86" t="s">
        <v>173</v>
      </c>
      <c r="X5" s="86" t="s">
        <v>173</v>
      </c>
      <c r="Y5" s="86" t="s">
        <v>173</v>
      </c>
      <c r="Z5" s="86" t="s">
        <v>173</v>
      </c>
      <c r="AA5" s="86" t="s">
        <v>173</v>
      </c>
      <c r="AB5" s="86" t="s">
        <v>173</v>
      </c>
      <c r="AC5" s="86" t="s">
        <v>173</v>
      </c>
      <c r="AD5" s="86" t="s">
        <v>173</v>
      </c>
      <c r="AE5" s="86" t="s">
        <v>179</v>
      </c>
      <c r="AF5" s="86" t="s">
        <v>179</v>
      </c>
      <c r="AG5" s="86" t="s">
        <v>179</v>
      </c>
      <c r="AH5" s="86" t="s">
        <v>179</v>
      </c>
      <c r="AI5" s="86" t="s">
        <v>179</v>
      </c>
      <c r="AJ5" s="86" t="s">
        <v>179</v>
      </c>
      <c r="AK5" s="86" t="s">
        <v>179</v>
      </c>
      <c r="AL5" s="86" t="s">
        <v>179</v>
      </c>
      <c r="AM5" s="86" t="s">
        <v>179</v>
      </c>
      <c r="AN5" s="86" t="s">
        <v>179</v>
      </c>
      <c r="AO5" s="86" t="s">
        <v>179</v>
      </c>
      <c r="AP5" s="86" t="s">
        <v>179</v>
      </c>
      <c r="AQ5" s="86" t="s">
        <v>179</v>
      </c>
      <c r="AR5" s="86" t="s">
        <v>179</v>
      </c>
      <c r="AS5" s="86" t="s">
        <v>179</v>
      </c>
      <c r="AT5" s="86" t="s">
        <v>179</v>
      </c>
      <c r="AU5" s="86" t="s">
        <v>179</v>
      </c>
      <c r="AW5" s="86" t="s">
        <v>179</v>
      </c>
      <c r="AX5" s="86" t="s">
        <v>179</v>
      </c>
      <c r="AY5" s="86" t="s">
        <v>179</v>
      </c>
      <c r="AZ5" s="86" t="s">
        <v>179</v>
      </c>
      <c r="BA5" s="86" t="s">
        <v>179</v>
      </c>
      <c r="BB5" s="86" t="s">
        <v>179</v>
      </c>
      <c r="BC5" s="86" t="s">
        <v>179</v>
      </c>
      <c r="BD5" s="86" t="s">
        <v>179</v>
      </c>
    </row>
    <row r="6" spans="2:57" ht="15" thickTop="1">
      <c r="B6" s="121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M6</f>
        <v>IFRS 16</v>
      </c>
      <c r="O6" s="13"/>
      <c r="P6" s="59" t="str">
        <f>I6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AM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89"/>
      <c r="AW6" s="4" t="str">
        <f>M6</f>
        <v>IFRS 16</v>
      </c>
      <c r="AX6" s="4" t="str">
        <f t="shared" ref="AX6:AZ6" si="3">AW6</f>
        <v>IFRS 16</v>
      </c>
      <c r="AY6" s="4" t="str">
        <f t="shared" si="3"/>
        <v>IFRS 16</v>
      </c>
      <c r="AZ6" s="4" t="str">
        <f t="shared" si="3"/>
        <v>IFRS 16</v>
      </c>
      <c r="BA6" s="4" t="str">
        <f>AW6</f>
        <v>IFRS 16</v>
      </c>
      <c r="BB6" s="59" t="str">
        <f>BA6</f>
        <v>IFRS 16</v>
      </c>
      <c r="BC6" s="4" t="str">
        <f>BB6</f>
        <v>IFRS 16</v>
      </c>
      <c r="BD6" s="4" t="str">
        <f t="shared" ref="BD6" si="4">BC6</f>
        <v>IFRS 16</v>
      </c>
    </row>
    <row r="7" spans="2:57" ht="15" thickBot="1">
      <c r="B7" s="122"/>
      <c r="C7" s="80"/>
      <c r="D7" s="60">
        <v>2012</v>
      </c>
      <c r="E7" s="60">
        <v>2013</v>
      </c>
      <c r="F7" s="60">
        <v>2014</v>
      </c>
      <c r="G7" s="80">
        <f>F7+1</f>
        <v>2015</v>
      </c>
      <c r="H7" s="80">
        <f t="shared" ref="H7:I7" si="5">G7+1</f>
        <v>2016</v>
      </c>
      <c r="I7" s="80">
        <f t="shared" si="5"/>
        <v>2017</v>
      </c>
      <c r="J7" s="105">
        <f>I7+1</f>
        <v>2018</v>
      </c>
      <c r="K7" s="80">
        <f>J7+1</f>
        <v>2019</v>
      </c>
      <c r="M7" s="80">
        <f>I7+1</f>
        <v>2018</v>
      </c>
      <c r="N7" s="80">
        <f>M7+1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80" t="s">
        <v>19</v>
      </c>
      <c r="AD7" s="80" t="s">
        <v>20</v>
      </c>
      <c r="AE7" s="80" t="s">
        <v>21</v>
      </c>
      <c r="AF7" s="80" t="s">
        <v>22</v>
      </c>
      <c r="AG7" s="80" t="s">
        <v>23</v>
      </c>
      <c r="AH7" s="80" t="s">
        <v>24</v>
      </c>
      <c r="AI7" s="80" t="s">
        <v>25</v>
      </c>
      <c r="AJ7" s="80" t="s">
        <v>26</v>
      </c>
      <c r="AK7" s="80" t="s">
        <v>27</v>
      </c>
      <c r="AL7" s="80" t="s">
        <v>28</v>
      </c>
      <c r="AM7" s="80" t="s">
        <v>29</v>
      </c>
      <c r="AN7" s="80" t="s">
        <v>47</v>
      </c>
      <c r="AO7" s="80" t="s">
        <v>48</v>
      </c>
      <c r="AP7" s="80" t="s">
        <v>49</v>
      </c>
      <c r="AQ7" s="80" t="s">
        <v>50</v>
      </c>
      <c r="AR7" s="80" t="s">
        <v>167</v>
      </c>
      <c r="AS7" s="80" t="s">
        <v>168</v>
      </c>
      <c r="AT7" s="80" t="s">
        <v>169</v>
      </c>
      <c r="AU7" s="104" t="s">
        <v>170</v>
      </c>
      <c r="AV7" s="89"/>
      <c r="AW7" s="80" t="s">
        <v>47</v>
      </c>
      <c r="AX7" s="80" t="s">
        <v>48</v>
      </c>
      <c r="AY7" s="80" t="s">
        <v>49</v>
      </c>
      <c r="AZ7" s="80" t="s">
        <v>50</v>
      </c>
      <c r="BA7" s="80" t="s">
        <v>167</v>
      </c>
      <c r="BB7" s="60" t="s">
        <v>168</v>
      </c>
      <c r="BC7" s="80" t="s">
        <v>169</v>
      </c>
      <c r="BD7" s="104" t="s">
        <v>170</v>
      </c>
    </row>
    <row r="8" spans="2:57" ht="15" thickTop="1">
      <c r="B8" s="14"/>
      <c r="C8" s="15"/>
      <c r="D8" s="64"/>
      <c r="E8" s="64"/>
      <c r="F8" s="64"/>
      <c r="G8" s="64"/>
      <c r="H8" s="64"/>
      <c r="I8" s="64"/>
      <c r="J8" s="64"/>
      <c r="K8" s="73"/>
      <c r="L8" s="54"/>
      <c r="M8" s="64"/>
      <c r="N8" s="73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9"/>
      <c r="AW8" s="13"/>
      <c r="AX8" s="13"/>
      <c r="AY8" s="13"/>
      <c r="AZ8" s="13"/>
      <c r="BA8" s="13"/>
      <c r="BB8" s="61"/>
      <c r="BC8" s="13"/>
      <c r="BD8" s="13"/>
    </row>
    <row r="9" spans="2:57">
      <c r="B9" s="16" t="s">
        <v>30</v>
      </c>
      <c r="C9" s="6"/>
      <c r="D9" s="65">
        <f>888431*31.093/1000</f>
        <v>27623.985083</v>
      </c>
      <c r="E9" s="65">
        <v>36000.927600343028</v>
      </c>
      <c r="F9" s="65">
        <v>45446.07894401066</v>
      </c>
      <c r="G9" s="65">
        <v>60544</v>
      </c>
      <c r="H9" s="65">
        <v>79547</v>
      </c>
      <c r="I9" s="65">
        <v>97003</v>
      </c>
      <c r="J9" s="65">
        <v>110874</v>
      </c>
      <c r="K9" s="65">
        <v>128764</v>
      </c>
      <c r="L9" s="54"/>
      <c r="M9" s="65">
        <v>110874</v>
      </c>
      <c r="N9" s="65">
        <v>128764</v>
      </c>
      <c r="O9" s="74"/>
      <c r="P9" s="65">
        <v>5262.7647826764996</v>
      </c>
      <c r="Q9" s="65">
        <v>5385.8426343045221</v>
      </c>
      <c r="R9" s="65">
        <v>7348.1085588802071</v>
      </c>
      <c r="S9" s="65">
        <v>9627.2691071387708</v>
      </c>
      <c r="T9" s="65">
        <v>6760.2566932884138</v>
      </c>
      <c r="U9" s="65">
        <v>7530.747965554493</v>
      </c>
      <c r="V9" s="65">
        <v>9784.5914955577646</v>
      </c>
      <c r="W9" s="65">
        <v>11925.331445942356</v>
      </c>
      <c r="X9" s="65">
        <v>9141.1199989008055</v>
      </c>
      <c r="Y9" s="65">
        <v>8973.7338953767794</v>
      </c>
      <c r="Z9" s="65">
        <v>11678.989413439725</v>
      </c>
      <c r="AA9" s="65">
        <v>15652.23563629335</v>
      </c>
      <c r="AB9" s="65">
        <v>12151.920234510222</v>
      </c>
      <c r="AC9" s="65">
        <v>12592.079765489778</v>
      </c>
      <c r="AD9" s="65">
        <v>15223</v>
      </c>
      <c r="AE9" s="65">
        <v>20577</v>
      </c>
      <c r="AF9" s="65">
        <v>16414</v>
      </c>
      <c r="AG9" s="65">
        <v>17322</v>
      </c>
      <c r="AH9" s="65">
        <v>20490</v>
      </c>
      <c r="AI9" s="65">
        <v>25321</v>
      </c>
      <c r="AJ9" s="65">
        <v>21061.27028693847</v>
      </c>
      <c r="AK9" s="65">
        <v>21034.72971306153</v>
      </c>
      <c r="AL9" s="65">
        <v>24553.15327618127</v>
      </c>
      <c r="AM9" s="65">
        <v>30353.84672381873</v>
      </c>
      <c r="AN9" s="65">
        <v>24019.609762539163</v>
      </c>
      <c r="AO9" s="65">
        <v>24096.390237460837</v>
      </c>
      <c r="AP9" s="65">
        <v>28449.578198915216</v>
      </c>
      <c r="AQ9" s="65">
        <v>34308.421801084784</v>
      </c>
      <c r="AR9" s="65">
        <v>27885.822840909314</v>
      </c>
      <c r="AS9" s="65">
        <v>28013.616159090685</v>
      </c>
      <c r="AT9" s="65">
        <v>33950.561000000002</v>
      </c>
      <c r="AU9" s="65">
        <f>K9-AT9-AS9-AR9</f>
        <v>38914</v>
      </c>
      <c r="AV9" s="112"/>
      <c r="AW9" s="65">
        <v>24019.609762539163</v>
      </c>
      <c r="AX9" s="65">
        <v>24096.390237460837</v>
      </c>
      <c r="AY9" s="65">
        <v>28450</v>
      </c>
      <c r="AZ9" s="65">
        <v>34308</v>
      </c>
      <c r="BA9" s="65">
        <v>27885.822840909314</v>
      </c>
      <c r="BB9" s="65">
        <v>28013.177159090686</v>
      </c>
      <c r="BC9" s="65">
        <v>33951</v>
      </c>
      <c r="BD9" s="65">
        <f>N9-BC9-BB9-BA9</f>
        <v>38914</v>
      </c>
      <c r="BE9" s="112"/>
    </row>
    <row r="10" spans="2:57">
      <c r="B10" s="17" t="s">
        <v>39</v>
      </c>
      <c r="C10" s="7"/>
      <c r="D10" s="66">
        <f>-535608*31.093/1000</f>
        <v>-16653.659543999998</v>
      </c>
      <c r="E10" s="66">
        <v>-22092.79799826799</v>
      </c>
      <c r="F10" s="66">
        <v>-28183.281325121206</v>
      </c>
      <c r="G10" s="66">
        <v>-38640</v>
      </c>
      <c r="H10" s="66">
        <v>-52439</v>
      </c>
      <c r="I10" s="66">
        <v>-64205</v>
      </c>
      <c r="J10" s="66">
        <v>-74045</v>
      </c>
      <c r="K10" s="66">
        <v>-87232</v>
      </c>
      <c r="L10" s="54"/>
      <c r="M10" s="66">
        <v>-74045</v>
      </c>
      <c r="N10" s="66">
        <v>-87232</v>
      </c>
      <c r="O10" s="74"/>
      <c r="P10" s="66">
        <v>-3467.8809462280565</v>
      </c>
      <c r="Q10" s="66">
        <v>-3266.0692834358138</v>
      </c>
      <c r="R10" s="66">
        <v>-4362.7982955296548</v>
      </c>
      <c r="S10" s="66">
        <v>-5556.9110188064733</v>
      </c>
      <c r="T10" s="66">
        <v>-4687.5882258799338</v>
      </c>
      <c r="U10" s="66">
        <v>-4801.3038240813312</v>
      </c>
      <c r="V10" s="66">
        <v>-5737.0234084691183</v>
      </c>
      <c r="W10" s="66">
        <v>-6866.8825398376066</v>
      </c>
      <c r="X10" s="66">
        <v>-6153.1604751101331</v>
      </c>
      <c r="Y10" s="66">
        <v>-5640.5135248381939</v>
      </c>
      <c r="Z10" s="66">
        <v>-7076.9553709266092</v>
      </c>
      <c r="AA10" s="66">
        <v>-9312.6519542462702</v>
      </c>
      <c r="AB10" s="66">
        <v>-7776.0394927150555</v>
      </c>
      <c r="AC10" s="66">
        <v>-8528.9605072849445</v>
      </c>
      <c r="AD10" s="66">
        <v>-9820</v>
      </c>
      <c r="AE10" s="66">
        <v>-12515</v>
      </c>
      <c r="AF10" s="66">
        <v>-10935</v>
      </c>
      <c r="AG10" s="66">
        <v>-11594</v>
      </c>
      <c r="AH10" s="66">
        <v>-13622</v>
      </c>
      <c r="AI10" s="66">
        <v>-16288</v>
      </c>
      <c r="AJ10" s="66">
        <v>-14599.089459686224</v>
      </c>
      <c r="AK10" s="66">
        <v>-13725.910540313776</v>
      </c>
      <c r="AL10" s="66">
        <v>-16276.50180825049</v>
      </c>
      <c r="AM10" s="66">
        <v>-19603.49819174951</v>
      </c>
      <c r="AN10" s="66">
        <v>-16914.08277781526</v>
      </c>
      <c r="AO10" s="66">
        <v>-15666.91722218474</v>
      </c>
      <c r="AP10" s="66">
        <v>-18960.911796822111</v>
      </c>
      <c r="AQ10" s="66">
        <v>-22503.088203177889</v>
      </c>
      <c r="AR10" s="66">
        <v>-19803.813747692733</v>
      </c>
      <c r="AS10" s="66">
        <v>-18504.356252307265</v>
      </c>
      <c r="AT10" s="66">
        <v>-23264.830000000005</v>
      </c>
      <c r="AU10" s="66">
        <f t="shared" ref="AU10:AU11" si="6">K10-AT10-AS10-AR10</f>
        <v>-25659.000000000004</v>
      </c>
      <c r="AV10" s="112"/>
      <c r="AW10" s="66">
        <v>-16914.08277781526</v>
      </c>
      <c r="AX10" s="66">
        <v>-15666.91722218474</v>
      </c>
      <c r="AY10" s="66">
        <v>-18961</v>
      </c>
      <c r="AZ10" s="66">
        <v>-22503</v>
      </c>
      <c r="BA10" s="66">
        <v>-19803.813747692733</v>
      </c>
      <c r="BB10" s="66">
        <v>-18504.186252307267</v>
      </c>
      <c r="BC10" s="66">
        <v>-23265.000000000004</v>
      </c>
      <c r="BD10" s="66">
        <f>N10-BC10-BB10-BA10</f>
        <v>-25659.000000000004</v>
      </c>
      <c r="BE10" s="112"/>
    </row>
    <row r="11" spans="2:57">
      <c r="B11" s="18" t="s">
        <v>40</v>
      </c>
      <c r="C11" s="8"/>
      <c r="D11" s="63">
        <f t="shared" ref="D11:N11" si="7">D10+D9</f>
        <v>10970.325539000001</v>
      </c>
      <c r="E11" s="63">
        <f t="shared" si="7"/>
        <v>13908.129602075038</v>
      </c>
      <c r="F11" s="63">
        <f t="shared" si="7"/>
        <v>17262.797618889454</v>
      </c>
      <c r="G11" s="63">
        <f t="shared" si="7"/>
        <v>21904</v>
      </c>
      <c r="H11" s="63">
        <f t="shared" si="7"/>
        <v>27108</v>
      </c>
      <c r="I11" s="63">
        <f t="shared" si="7"/>
        <v>32798</v>
      </c>
      <c r="J11" s="63">
        <f t="shared" si="7"/>
        <v>36829</v>
      </c>
      <c r="K11" s="63">
        <f t="shared" si="7"/>
        <v>41532</v>
      </c>
      <c r="L11" s="54"/>
      <c r="M11" s="63">
        <f t="shared" si="7"/>
        <v>36829</v>
      </c>
      <c r="N11" s="63">
        <f t="shared" si="7"/>
        <v>41532</v>
      </c>
      <c r="O11" s="74"/>
      <c r="P11" s="63">
        <v>1794.8838364484432</v>
      </c>
      <c r="Q11" s="63">
        <v>2119.7733508687083</v>
      </c>
      <c r="R11" s="63">
        <v>2985.3102633505523</v>
      </c>
      <c r="S11" s="63">
        <v>4070.3580883322975</v>
      </c>
      <c r="T11" s="63">
        <v>2072.66846740848</v>
      </c>
      <c r="U11" s="63">
        <v>2729.4441414731618</v>
      </c>
      <c r="V11" s="63">
        <v>4047.5680870886463</v>
      </c>
      <c r="W11" s="63">
        <v>5058.4489061047498</v>
      </c>
      <c r="X11" s="63">
        <v>2987.9595237906724</v>
      </c>
      <c r="Y11" s="63">
        <v>3333.2203705385855</v>
      </c>
      <c r="Z11" s="63">
        <v>4602.0340425131162</v>
      </c>
      <c r="AA11" s="63">
        <v>6339.5836820470795</v>
      </c>
      <c r="AB11" s="63">
        <v>4375.8807417951666</v>
      </c>
      <c r="AC11" s="63">
        <v>4063.1192582048334</v>
      </c>
      <c r="AD11" s="63">
        <v>5403</v>
      </c>
      <c r="AE11" s="63">
        <v>8062</v>
      </c>
      <c r="AF11" s="63">
        <v>5479</v>
      </c>
      <c r="AG11" s="63">
        <v>5728</v>
      </c>
      <c r="AH11" s="63">
        <v>6868</v>
      </c>
      <c r="AI11" s="63">
        <v>9033</v>
      </c>
      <c r="AJ11" s="63">
        <v>6462.1808272522467</v>
      </c>
      <c r="AK11" s="63">
        <v>7308.8191727477533</v>
      </c>
      <c r="AL11" s="63">
        <v>8276.6514679307802</v>
      </c>
      <c r="AM11" s="63">
        <v>10750.34853206922</v>
      </c>
      <c r="AN11" s="63">
        <v>7105.5269847239033</v>
      </c>
      <c r="AO11" s="63">
        <v>8429.4730152760967</v>
      </c>
      <c r="AP11" s="63">
        <v>9488.6664020931057</v>
      </c>
      <c r="AQ11" s="63">
        <v>11805.333597906894</v>
      </c>
      <c r="AR11" s="63">
        <v>8082.0090932165804</v>
      </c>
      <c r="AS11" s="63">
        <v>9509.2599067834199</v>
      </c>
      <c r="AT11" s="63">
        <v>10685.731</v>
      </c>
      <c r="AU11" s="63">
        <f t="shared" si="6"/>
        <v>13255</v>
      </c>
      <c r="AV11" s="112"/>
      <c r="AW11" s="63">
        <v>7105.5269847239033</v>
      </c>
      <c r="AX11" s="63">
        <v>8429.4730152760967</v>
      </c>
      <c r="AY11" s="63">
        <v>9489</v>
      </c>
      <c r="AZ11" s="63">
        <v>11805</v>
      </c>
      <c r="BA11" s="63">
        <v>8082.0090932165804</v>
      </c>
      <c r="BB11" s="63">
        <v>9508.9909067834196</v>
      </c>
      <c r="BC11" s="63">
        <v>10686</v>
      </c>
      <c r="BD11" s="63">
        <f>N11-BC11-BB11-BA11</f>
        <v>13255</v>
      </c>
      <c r="BE11" s="112"/>
    </row>
    <row r="12" spans="2:57">
      <c r="B12" s="19"/>
      <c r="C12" s="9"/>
      <c r="D12" s="67"/>
      <c r="E12" s="67"/>
      <c r="F12" s="67"/>
      <c r="G12" s="67"/>
      <c r="H12" s="67"/>
      <c r="I12" s="67"/>
      <c r="J12" s="67"/>
      <c r="K12" s="67"/>
      <c r="L12" s="54"/>
      <c r="M12" s="67"/>
      <c r="N12" s="67"/>
      <c r="O12" s="74"/>
      <c r="P12"/>
      <c r="Q12"/>
      <c r="R12"/>
      <c r="S12"/>
      <c r="T12"/>
      <c r="U12"/>
      <c r="V12"/>
      <c r="W12"/>
      <c r="X12"/>
      <c r="Y12"/>
      <c r="Z12"/>
      <c r="AA12"/>
      <c r="AB12"/>
      <c r="AP12" s="54"/>
      <c r="AS12" s="54"/>
      <c r="AT12" s="54"/>
      <c r="AU12" s="54"/>
      <c r="AV12" s="112"/>
      <c r="AY12" s="89"/>
      <c r="AZ12" s="89"/>
      <c r="BC12" s="54"/>
      <c r="BD12" s="54"/>
      <c r="BE12" s="112"/>
    </row>
    <row r="13" spans="2:57">
      <c r="B13" s="19" t="s">
        <v>31</v>
      </c>
      <c r="C13" s="10"/>
      <c r="D13" s="62">
        <f>(-299942-18665)*31.093/1000</f>
        <v>-9906.447451</v>
      </c>
      <c r="E13" s="62">
        <v>-11789.273427990631</v>
      </c>
      <c r="F13" s="62">
        <v>-14262.266858493724</v>
      </c>
      <c r="G13" s="62">
        <v>-17725</v>
      </c>
      <c r="H13" s="62">
        <v>-20483</v>
      </c>
      <c r="I13" s="62">
        <v>-24766</v>
      </c>
      <c r="J13" s="62">
        <v>-27011</v>
      </c>
      <c r="K13" s="62">
        <v>-30247</v>
      </c>
      <c r="L13" s="54"/>
      <c r="M13" s="62">
        <v>-25550</v>
      </c>
      <c r="N13" s="62">
        <v>-28631</v>
      </c>
      <c r="O13" s="74"/>
      <c r="P13" s="62">
        <v>-2381.2816239266026</v>
      </c>
      <c r="Q13" s="62">
        <v>-2309.0264390933503</v>
      </c>
      <c r="R13" s="62">
        <v>-2527.3993784821496</v>
      </c>
      <c r="S13" s="62">
        <v>-2688.7400094978975</v>
      </c>
      <c r="T13" s="62">
        <v>-2682.3638809395611</v>
      </c>
      <c r="U13" s="62">
        <v>-2592.6088037563354</v>
      </c>
      <c r="V13" s="62">
        <v>-3107.4979759571033</v>
      </c>
      <c r="W13" s="62">
        <v>-3406.8027673376309</v>
      </c>
      <c r="X13" s="62">
        <v>-3094.7672340373965</v>
      </c>
      <c r="Y13" s="62">
        <v>-2876.3782219155028</v>
      </c>
      <c r="Z13" s="62">
        <v>-3227.3690967515668</v>
      </c>
      <c r="AA13" s="62">
        <v>-5063.7523057892577</v>
      </c>
      <c r="AB13" s="62">
        <v>-3865.5570070290546</v>
      </c>
      <c r="AC13" s="62">
        <v>-3667.4429929709454</v>
      </c>
      <c r="AD13" s="62">
        <v>-4001</v>
      </c>
      <c r="AE13" s="62">
        <v>-6191</v>
      </c>
      <c r="AF13" s="62">
        <v>-5036</v>
      </c>
      <c r="AG13" s="62">
        <v>-4526</v>
      </c>
      <c r="AH13" s="62">
        <v>-5056</v>
      </c>
      <c r="AI13" s="62">
        <v>-5865</v>
      </c>
      <c r="AJ13" s="62">
        <v>-6053.5589210747321</v>
      </c>
      <c r="AK13" s="62">
        <v>-5573.4410789252679</v>
      </c>
      <c r="AL13" s="62">
        <v>-6047.8913806268174</v>
      </c>
      <c r="AM13" s="62">
        <v>-7091.1086193731826</v>
      </c>
      <c r="AN13" s="62">
        <v>-6310.6973803628316</v>
      </c>
      <c r="AO13" s="62">
        <v>-6112.3026196371684</v>
      </c>
      <c r="AP13" s="62">
        <v>-6538.7297245974114</v>
      </c>
      <c r="AQ13" s="62">
        <v>-8049.2702754025886</v>
      </c>
      <c r="AR13" s="62">
        <v>-7025.6320890849911</v>
      </c>
      <c r="AS13" s="62">
        <v>-6780.2989109150094</v>
      </c>
      <c r="AT13" s="62">
        <v>-7262.0689999999995</v>
      </c>
      <c r="AU13" s="62">
        <f t="shared" ref="AU13:AU15" si="8">K13-AT13-AS13-AR13</f>
        <v>-9179</v>
      </c>
      <c r="AV13" s="112"/>
      <c r="AW13" s="62">
        <v>-6017.772142899863</v>
      </c>
      <c r="AX13" s="62">
        <v>-6011.227857100137</v>
      </c>
      <c r="AY13" s="62">
        <v>-5948</v>
      </c>
      <c r="AZ13" s="62">
        <v>-7573</v>
      </c>
      <c r="BA13" s="62">
        <v>-6586.8776160921452</v>
      </c>
      <c r="BB13" s="62">
        <v>-6286.1223839078548</v>
      </c>
      <c r="BC13" s="62">
        <v>-6989.9999999999991</v>
      </c>
      <c r="BD13" s="62">
        <f t="shared" ref="BD13:BD23" si="9">N13-BC13-BB13-BA13</f>
        <v>-8768</v>
      </c>
      <c r="BE13" s="112"/>
    </row>
    <row r="14" spans="2:57">
      <c r="B14" s="20" t="s">
        <v>33</v>
      </c>
      <c r="C14" s="11"/>
      <c r="D14" s="58">
        <v>38.072551459494782</v>
      </c>
      <c r="E14" s="58">
        <v>18.246890737511627</v>
      </c>
      <c r="F14" s="58">
        <v>1169.7343147076683</v>
      </c>
      <c r="G14" s="58">
        <v>-11</v>
      </c>
      <c r="H14" s="58">
        <v>-21</v>
      </c>
      <c r="I14" s="58">
        <v>-8</v>
      </c>
      <c r="J14" s="58">
        <v>-48</v>
      </c>
      <c r="K14" s="58">
        <v>-8</v>
      </c>
      <c r="L14" s="54"/>
      <c r="M14" s="58">
        <v>-47</v>
      </c>
      <c r="N14" s="58">
        <v>-8</v>
      </c>
      <c r="O14" s="74"/>
      <c r="P14" s="58">
        <v>1.538109908198277</v>
      </c>
      <c r="Q14" s="58">
        <v>15.84381997411181</v>
      </c>
      <c r="R14" s="58">
        <v>16.044146511183005</v>
      </c>
      <c r="S14" s="58">
        <v>4.6464750660016918</v>
      </c>
      <c r="T14" s="58">
        <v>-0.61414315601198499</v>
      </c>
      <c r="U14" s="58">
        <v>8.2386641347274114</v>
      </c>
      <c r="V14" s="58">
        <v>2.6099821943313</v>
      </c>
      <c r="W14" s="58">
        <v>8.0123875644649001</v>
      </c>
      <c r="X14" s="58">
        <v>-2.7933379471081317</v>
      </c>
      <c r="Y14" s="58">
        <v>0.58071596274372395</v>
      </c>
      <c r="Z14" s="58">
        <v>6.5697998914376257</v>
      </c>
      <c r="AA14" s="58">
        <v>1165.3771368005951</v>
      </c>
      <c r="AB14" s="58">
        <v>-3.7038919921794933</v>
      </c>
      <c r="AC14" s="58">
        <v>4.7038919921794928</v>
      </c>
      <c r="AD14" s="58">
        <v>-7</v>
      </c>
      <c r="AE14" s="58">
        <v>-5</v>
      </c>
      <c r="AF14" s="58">
        <v>-8</v>
      </c>
      <c r="AG14" s="58">
        <v>3</v>
      </c>
      <c r="AH14" s="58">
        <v>-5</v>
      </c>
      <c r="AI14" s="58">
        <v>-11</v>
      </c>
      <c r="AJ14" s="58">
        <v>-8.2401098500000014</v>
      </c>
      <c r="AK14" s="58">
        <v>-22.759890149999997</v>
      </c>
      <c r="AL14" s="58">
        <v>-9.2864779798372155E-2</v>
      </c>
      <c r="AM14" s="58">
        <v>23.092864779798372</v>
      </c>
      <c r="AN14" s="58">
        <v>-8.93606297</v>
      </c>
      <c r="AO14" s="58">
        <v>-4.06393703</v>
      </c>
      <c r="AP14" s="58">
        <v>-10.942686597867695</v>
      </c>
      <c r="AQ14" s="58">
        <v>-24.057313402132305</v>
      </c>
      <c r="AR14" s="58">
        <v>-2.3494868922077421</v>
      </c>
      <c r="AS14" s="58">
        <v>4.3614868922077417</v>
      </c>
      <c r="AT14" s="58">
        <v>-10.012</v>
      </c>
      <c r="AU14" s="58">
        <f t="shared" si="8"/>
        <v>0</v>
      </c>
      <c r="AV14" s="112"/>
      <c r="AW14" s="58">
        <v>-8.93606297</v>
      </c>
      <c r="AX14" s="58">
        <v>-4.06393703</v>
      </c>
      <c r="AY14" s="58">
        <v>-10.000000000000002</v>
      </c>
      <c r="AZ14" s="58">
        <v>-24</v>
      </c>
      <c r="BA14" s="58">
        <v>-2.3494868922077421</v>
      </c>
      <c r="BB14" s="58">
        <v>4.3494868922077421</v>
      </c>
      <c r="BC14" s="58">
        <v>-10</v>
      </c>
      <c r="BD14" s="58">
        <f t="shared" si="9"/>
        <v>0</v>
      </c>
      <c r="BE14" s="112"/>
    </row>
    <row r="15" spans="2:57">
      <c r="B15" s="18" t="s">
        <v>41</v>
      </c>
      <c r="C15" s="8"/>
      <c r="D15" s="63">
        <f t="shared" ref="D15:N15" si="10">D14+D13+D11</f>
        <v>1101.9506394594955</v>
      </c>
      <c r="E15" s="63">
        <f t="shared" si="10"/>
        <v>2137.1030648219185</v>
      </c>
      <c r="F15" s="63">
        <f t="shared" si="10"/>
        <v>4170.265075103398</v>
      </c>
      <c r="G15" s="63">
        <f t="shared" si="10"/>
        <v>4168</v>
      </c>
      <c r="H15" s="63">
        <f t="shared" si="10"/>
        <v>6604</v>
      </c>
      <c r="I15" s="63">
        <f t="shared" si="10"/>
        <v>8024</v>
      </c>
      <c r="J15" s="63">
        <f t="shared" si="10"/>
        <v>9770</v>
      </c>
      <c r="K15" s="63">
        <f t="shared" si="10"/>
        <v>11277</v>
      </c>
      <c r="L15" s="54"/>
      <c r="M15" s="63">
        <f>M14+M13+M11</f>
        <v>11232</v>
      </c>
      <c r="N15" s="63">
        <f t="shared" si="10"/>
        <v>12893</v>
      </c>
      <c r="O15" s="74"/>
      <c r="P15" s="63">
        <v>-584.85967756996115</v>
      </c>
      <c r="Q15" s="63">
        <v>-173.4092682505302</v>
      </c>
      <c r="R15" s="63">
        <v>473.95503137958622</v>
      </c>
      <c r="S15" s="63">
        <v>1386.2645539004006</v>
      </c>
      <c r="T15" s="63">
        <v>-610.30955668709294</v>
      </c>
      <c r="U15" s="63">
        <v>145.07400185155393</v>
      </c>
      <c r="V15" s="63">
        <v>942.68009332587462</v>
      </c>
      <c r="W15" s="63">
        <v>1659.6585263315828</v>
      </c>
      <c r="X15" s="63">
        <v>-109.60104819383241</v>
      </c>
      <c r="Y15" s="63">
        <v>457.42286458582703</v>
      </c>
      <c r="Z15" s="63">
        <v>1381.2347456529869</v>
      </c>
      <c r="AA15" s="63">
        <v>2441.2085130584164</v>
      </c>
      <c r="AB15" s="63">
        <v>506.61984277393231</v>
      </c>
      <c r="AC15" s="63">
        <v>400.38015722606769</v>
      </c>
      <c r="AD15" s="63">
        <v>1395</v>
      </c>
      <c r="AE15" s="63">
        <v>1866</v>
      </c>
      <c r="AF15" s="63">
        <v>435</v>
      </c>
      <c r="AG15" s="63">
        <v>1205</v>
      </c>
      <c r="AH15" s="63">
        <v>1807</v>
      </c>
      <c r="AI15" s="63">
        <v>3157</v>
      </c>
      <c r="AJ15" s="63">
        <v>400.38179632751417</v>
      </c>
      <c r="AK15" s="63">
        <v>1712.6182036724858</v>
      </c>
      <c r="AL15" s="63">
        <v>2228.6672225241637</v>
      </c>
      <c r="AM15" s="63">
        <v>3682.3327774758363</v>
      </c>
      <c r="AN15" s="63">
        <v>785.89354139107127</v>
      </c>
      <c r="AO15" s="63">
        <v>2313.1064586089287</v>
      </c>
      <c r="AP15" s="63">
        <v>2938.9939908978267</v>
      </c>
      <c r="AQ15" s="63">
        <v>3732.0060091021733</v>
      </c>
      <c r="AR15" s="63">
        <v>1054.0275172393813</v>
      </c>
      <c r="AS15" s="63">
        <v>2733.3224827606191</v>
      </c>
      <c r="AT15" s="63">
        <v>3413.6499999999996</v>
      </c>
      <c r="AU15" s="63">
        <f t="shared" si="8"/>
        <v>4076</v>
      </c>
      <c r="AV15" s="112"/>
      <c r="AW15" s="63">
        <v>1078.8187788540399</v>
      </c>
      <c r="AX15" s="63">
        <v>2414.1812211459601</v>
      </c>
      <c r="AY15" s="63">
        <v>3531</v>
      </c>
      <c r="AZ15" s="63">
        <v>4208</v>
      </c>
      <c r="BA15" s="63">
        <v>1492.7819902322271</v>
      </c>
      <c r="BB15" s="63">
        <v>3227.2180097677729</v>
      </c>
      <c r="BC15" s="63">
        <v>3686</v>
      </c>
      <c r="BD15" s="63">
        <f t="shared" si="9"/>
        <v>4487</v>
      </c>
      <c r="BE15" s="112"/>
    </row>
    <row r="16" spans="2:57">
      <c r="B16" s="19"/>
      <c r="C16" s="9"/>
      <c r="D16" s="67"/>
      <c r="E16" s="67"/>
      <c r="F16" s="67"/>
      <c r="G16" s="67"/>
      <c r="H16" s="67"/>
      <c r="I16" s="67"/>
      <c r="J16" s="67"/>
      <c r="K16" s="67"/>
      <c r="L16" s="54"/>
      <c r="M16" s="67"/>
      <c r="N16" s="67"/>
      <c r="O16" s="74"/>
      <c r="P16"/>
      <c r="Q16"/>
      <c r="R16"/>
      <c r="S16"/>
      <c r="T16"/>
      <c r="U16"/>
      <c r="V16"/>
      <c r="W16"/>
      <c r="X16"/>
      <c r="Y16"/>
      <c r="Z16"/>
      <c r="AA16"/>
      <c r="AB16"/>
      <c r="AP16" s="54"/>
      <c r="AS16" s="54"/>
      <c r="AT16" s="54"/>
      <c r="AU16" s="54"/>
      <c r="AV16" s="112"/>
      <c r="AY16" s="89"/>
      <c r="AZ16" s="89"/>
      <c r="BC16" s="54"/>
      <c r="BD16" s="54"/>
      <c r="BE16" s="112"/>
    </row>
    <row r="17" spans="2:57">
      <c r="B17" s="19" t="s">
        <v>42</v>
      </c>
      <c r="C17" s="10"/>
      <c r="D17" s="62">
        <v>24.939451909999992</v>
      </c>
      <c r="E17" s="62">
        <v>11.031759991626998</v>
      </c>
      <c r="F17" s="62">
        <v>55.787874609999989</v>
      </c>
      <c r="G17" s="62">
        <v>723</v>
      </c>
      <c r="H17" s="62">
        <v>186</v>
      </c>
      <c r="I17" s="62">
        <v>28</v>
      </c>
      <c r="J17" s="62">
        <v>5</v>
      </c>
      <c r="K17" s="62">
        <v>5</v>
      </c>
      <c r="L17" s="54"/>
      <c r="M17" s="62">
        <v>10</v>
      </c>
      <c r="N17" s="62">
        <v>11</v>
      </c>
      <c r="O17" s="74"/>
      <c r="P17" s="62">
        <v>16.490877470000001</v>
      </c>
      <c r="Q17" s="62">
        <v>3.1820127700000036</v>
      </c>
      <c r="R17" s="62">
        <v>3.0716281699999897</v>
      </c>
      <c r="S17" s="62">
        <v>2.1949334999999977</v>
      </c>
      <c r="T17" s="62">
        <v>1.800401641920002</v>
      </c>
      <c r="U17" s="62">
        <v>1.9050895580799994</v>
      </c>
      <c r="V17" s="62">
        <v>5.2875484199999949</v>
      </c>
      <c r="W17" s="62">
        <v>2.0387203716270026</v>
      </c>
      <c r="X17" s="62">
        <v>3.9910996999999999</v>
      </c>
      <c r="Y17" s="62">
        <v>11.7742317</v>
      </c>
      <c r="Z17" s="62">
        <v>5.3408919900000011</v>
      </c>
      <c r="AA17" s="62">
        <v>34.681651219999992</v>
      </c>
      <c r="AB17" s="62">
        <v>164.83524031309827</v>
      </c>
      <c r="AC17" s="62">
        <v>164.16475968690173</v>
      </c>
      <c r="AD17" s="62">
        <v>206</v>
      </c>
      <c r="AE17" s="62">
        <v>188</v>
      </c>
      <c r="AF17" s="62">
        <v>84</v>
      </c>
      <c r="AG17" s="62">
        <v>33</v>
      </c>
      <c r="AH17" s="62">
        <v>47</v>
      </c>
      <c r="AI17" s="62">
        <v>22</v>
      </c>
      <c r="AJ17" s="62">
        <v>17.062218930778897</v>
      </c>
      <c r="AK17" s="62">
        <v>4.9377810692211028</v>
      </c>
      <c r="AL17" s="62">
        <v>3.8108646611684591</v>
      </c>
      <c r="AM17" s="62">
        <v>2.1891353388315409</v>
      </c>
      <c r="AN17" s="62">
        <v>1.1885651509619815</v>
      </c>
      <c r="AO17" s="62">
        <v>0.81143484903801855</v>
      </c>
      <c r="AP17" s="62">
        <v>0.41354000651445011</v>
      </c>
      <c r="AQ17" s="62">
        <v>2.5864599934855499</v>
      </c>
      <c r="AR17" s="62">
        <v>2.2729876545043628</v>
      </c>
      <c r="AS17" s="62">
        <v>0.80701234549563727</v>
      </c>
      <c r="AT17" s="62">
        <v>0.91999999999999993</v>
      </c>
      <c r="AU17" s="62">
        <f t="shared" ref="AU17:AU20" si="11">K17-AT17-AS17-AR17</f>
        <v>1</v>
      </c>
      <c r="AV17" s="112"/>
      <c r="AW17" s="62">
        <v>1.1885651509619815</v>
      </c>
      <c r="AX17" s="62">
        <v>0.81143484903801855</v>
      </c>
      <c r="AY17" s="62">
        <v>4</v>
      </c>
      <c r="AZ17" s="62">
        <v>4</v>
      </c>
      <c r="BA17" s="62">
        <v>3.8811536366021375</v>
      </c>
      <c r="BB17" s="62">
        <v>2.1188463633978625</v>
      </c>
      <c r="BC17" s="62">
        <v>2</v>
      </c>
      <c r="BD17" s="62">
        <f t="shared" si="9"/>
        <v>3</v>
      </c>
      <c r="BE17" s="112"/>
    </row>
    <row r="18" spans="2:57">
      <c r="B18" s="19" t="s">
        <v>43</v>
      </c>
      <c r="C18" s="10"/>
      <c r="D18" s="62">
        <v>-408.60522705000005</v>
      </c>
      <c r="E18" s="62">
        <v>-517.81757806000007</v>
      </c>
      <c r="F18" s="62">
        <v>-917.72465021179858</v>
      </c>
      <c r="G18" s="62">
        <v>-2416</v>
      </c>
      <c r="H18" s="62">
        <v>-1938</v>
      </c>
      <c r="I18" s="62">
        <v>-1866</v>
      </c>
      <c r="J18" s="62">
        <v>-1824</v>
      </c>
      <c r="K18" s="62">
        <v>-2305</v>
      </c>
      <c r="L18" s="54"/>
      <c r="M18" s="62">
        <v>-4427</v>
      </c>
      <c r="N18" s="62">
        <v>-4878</v>
      </c>
      <c r="O18" s="74"/>
      <c r="P18" s="62">
        <v>-93.03570843</v>
      </c>
      <c r="Q18" s="62">
        <v>-90.668352930000026</v>
      </c>
      <c r="R18" s="62">
        <v>-110.83073099999996</v>
      </c>
      <c r="S18" s="62">
        <v>-114.07043469000007</v>
      </c>
      <c r="T18" s="62">
        <v>-82.177500339999995</v>
      </c>
      <c r="U18" s="62">
        <v>-78.883856470000012</v>
      </c>
      <c r="V18" s="62">
        <v>-165.65096980999999</v>
      </c>
      <c r="W18" s="62">
        <v>-191.10525144000007</v>
      </c>
      <c r="X18" s="62">
        <v>-171.73148089999998</v>
      </c>
      <c r="Y18" s="62">
        <v>-220.93386722000011</v>
      </c>
      <c r="Z18" s="62">
        <v>-240.9406643599998</v>
      </c>
      <c r="AA18" s="62">
        <v>-284.11863773179869</v>
      </c>
      <c r="AB18" s="62">
        <v>-330.14104566000003</v>
      </c>
      <c r="AC18" s="62">
        <v>-344.85895433999997</v>
      </c>
      <c r="AD18" s="62">
        <v>-576</v>
      </c>
      <c r="AE18" s="62">
        <v>-1165</v>
      </c>
      <c r="AF18" s="62">
        <v>-508</v>
      </c>
      <c r="AG18" s="62">
        <v>-457</v>
      </c>
      <c r="AH18" s="62">
        <v>-453</v>
      </c>
      <c r="AI18" s="62">
        <v>-520</v>
      </c>
      <c r="AJ18" s="62">
        <v>-447.52734220999997</v>
      </c>
      <c r="AK18" s="62">
        <v>-512.47265779000008</v>
      </c>
      <c r="AL18" s="62">
        <v>-467.32783879999965</v>
      </c>
      <c r="AM18" s="62">
        <v>-438.67216120000035</v>
      </c>
      <c r="AN18" s="62">
        <v>-388.84958446000002</v>
      </c>
      <c r="AO18" s="62">
        <v>-457.15041553999998</v>
      </c>
      <c r="AP18" s="62">
        <v>-457.44738411000026</v>
      </c>
      <c r="AQ18" s="62">
        <v>-520.55261588999974</v>
      </c>
      <c r="AR18" s="62">
        <v>-557.79478182000003</v>
      </c>
      <c r="AS18" s="62">
        <v>-606.14221817999987</v>
      </c>
      <c r="AT18" s="62">
        <v>-621.0630000000001</v>
      </c>
      <c r="AU18" s="62">
        <f t="shared" si="11"/>
        <v>-520</v>
      </c>
      <c r="AV18" s="112"/>
      <c r="AW18" s="62">
        <v>-810.99100333472995</v>
      </c>
      <c r="AX18" s="62">
        <v>-1526.0089966652699</v>
      </c>
      <c r="AY18" s="62">
        <v>-750.00000000000011</v>
      </c>
      <c r="AZ18" s="62">
        <v>-1340</v>
      </c>
      <c r="BA18" s="62">
        <v>-1566.1949486145513</v>
      </c>
      <c r="BB18" s="62">
        <v>-855.80505138544868</v>
      </c>
      <c r="BC18" s="62">
        <v>-1161</v>
      </c>
      <c r="BD18" s="62">
        <f t="shared" si="9"/>
        <v>-1295</v>
      </c>
      <c r="BE18" s="112"/>
    </row>
    <row r="19" spans="2:57">
      <c r="B19" s="20" t="s">
        <v>44</v>
      </c>
      <c r="C19" s="11"/>
      <c r="D19" s="58">
        <v>27.136693634030543</v>
      </c>
      <c r="E19" s="58">
        <v>-58.409574546757092</v>
      </c>
      <c r="F19" s="58">
        <v>-581.78427963152319</v>
      </c>
      <c r="G19" s="58">
        <v>-921</v>
      </c>
      <c r="H19" s="58">
        <v>33</v>
      </c>
      <c r="I19" s="58">
        <v>-306</v>
      </c>
      <c r="J19" s="58">
        <v>106</v>
      </c>
      <c r="K19" s="58">
        <v>-124</v>
      </c>
      <c r="L19" s="54"/>
      <c r="M19" s="58">
        <v>106</v>
      </c>
      <c r="N19" s="58">
        <v>-124</v>
      </c>
      <c r="O19" s="74"/>
      <c r="P19" s="58">
        <v>40.11893975902624</v>
      </c>
      <c r="Q19" s="58">
        <v>-45.05158563945988</v>
      </c>
      <c r="R19" s="58">
        <v>41.409439482385388</v>
      </c>
      <c r="S19" s="58">
        <v>-9.3400999679212049</v>
      </c>
      <c r="T19" s="58">
        <v>-5.7830932364966126</v>
      </c>
      <c r="U19" s="58">
        <v>-37.436448828809631</v>
      </c>
      <c r="V19" s="58">
        <v>2.3482948931473402</v>
      </c>
      <c r="W19" s="58">
        <v>-17.53832737459819</v>
      </c>
      <c r="X19" s="58">
        <v>-214.8688959031918</v>
      </c>
      <c r="Y19" s="58">
        <v>-151.61707153206561</v>
      </c>
      <c r="Z19" s="58">
        <v>7.651418650351161</v>
      </c>
      <c r="AA19" s="58">
        <v>-222.94973084661694</v>
      </c>
      <c r="AB19" s="58">
        <v>-225.21228805001266</v>
      </c>
      <c r="AC19" s="58">
        <v>173.21228805001266</v>
      </c>
      <c r="AD19" s="58">
        <v>-543</v>
      </c>
      <c r="AE19" s="58">
        <v>-326</v>
      </c>
      <c r="AF19" s="58">
        <v>31</v>
      </c>
      <c r="AG19" s="58">
        <v>13</v>
      </c>
      <c r="AH19" s="58">
        <v>-54</v>
      </c>
      <c r="AI19" s="58">
        <v>43</v>
      </c>
      <c r="AJ19" s="58">
        <v>-19.90160616379935</v>
      </c>
      <c r="AK19" s="58">
        <v>-100.09839383620064</v>
      </c>
      <c r="AL19" s="58">
        <v>-96.969276976482263</v>
      </c>
      <c r="AM19" s="58">
        <v>-89.030723023517737</v>
      </c>
      <c r="AN19" s="58">
        <v>13.444672790728145</v>
      </c>
      <c r="AO19" s="58">
        <v>129.55532720927187</v>
      </c>
      <c r="AP19" s="58">
        <v>32.33291060091625</v>
      </c>
      <c r="AQ19" s="58">
        <v>-69.33291060091625</v>
      </c>
      <c r="AR19" s="58">
        <v>-182.21056984410438</v>
      </c>
      <c r="AS19" s="58">
        <v>-103.8214301558956</v>
      </c>
      <c r="AT19" s="58">
        <v>92.031999999999982</v>
      </c>
      <c r="AU19" s="58">
        <f t="shared" si="11"/>
        <v>70</v>
      </c>
      <c r="AV19" s="112"/>
      <c r="AW19" s="58">
        <v>13.444672790728145</v>
      </c>
      <c r="AX19" s="58">
        <v>129.55532720927187</v>
      </c>
      <c r="AY19" s="58">
        <v>31.999999999999989</v>
      </c>
      <c r="AZ19" s="58">
        <v>-69</v>
      </c>
      <c r="BA19" s="58">
        <v>-182.21056984410438</v>
      </c>
      <c r="BB19" s="58">
        <v>-103.78943015589562</v>
      </c>
      <c r="BC19" s="58">
        <v>92</v>
      </c>
      <c r="BD19" s="58">
        <f t="shared" si="9"/>
        <v>70</v>
      </c>
      <c r="BE19" s="112"/>
    </row>
    <row r="20" spans="2:57">
      <c r="B20" s="18" t="s">
        <v>45</v>
      </c>
      <c r="C20" s="8"/>
      <c r="D20" s="63">
        <f t="shared" ref="D20:N20" si="12">D19+D18+D15+D17</f>
        <v>745.42155795352608</v>
      </c>
      <c r="E20" s="63">
        <f t="shared" si="12"/>
        <v>1571.9076722067884</v>
      </c>
      <c r="F20" s="63">
        <f t="shared" si="12"/>
        <v>2726.5440198700762</v>
      </c>
      <c r="G20" s="63">
        <f t="shared" si="12"/>
        <v>1554</v>
      </c>
      <c r="H20" s="63">
        <f t="shared" si="12"/>
        <v>4885</v>
      </c>
      <c r="I20" s="63">
        <f t="shared" si="12"/>
        <v>5880</v>
      </c>
      <c r="J20" s="63">
        <f t="shared" si="12"/>
        <v>8057</v>
      </c>
      <c r="K20" s="63">
        <f t="shared" si="12"/>
        <v>8853</v>
      </c>
      <c r="L20" s="54"/>
      <c r="M20" s="63">
        <f t="shared" si="12"/>
        <v>6921</v>
      </c>
      <c r="N20" s="63">
        <f t="shared" si="12"/>
        <v>7902</v>
      </c>
      <c r="O20" s="74"/>
      <c r="P20" s="63">
        <v>-621.2855687709349</v>
      </c>
      <c r="Q20" s="63">
        <v>-305.94719404999012</v>
      </c>
      <c r="R20" s="63">
        <v>407.60536803197158</v>
      </c>
      <c r="S20" s="63">
        <v>1265.0489527424795</v>
      </c>
      <c r="T20" s="63">
        <v>-696.46974862166962</v>
      </c>
      <c r="U20" s="63">
        <v>30.658786110824281</v>
      </c>
      <c r="V20" s="63">
        <v>784.66496682902198</v>
      </c>
      <c r="W20" s="63">
        <v>1453.0536678886117</v>
      </c>
      <c r="X20" s="63">
        <v>-492.21032529702421</v>
      </c>
      <c r="Y20" s="63">
        <v>96.646157533761311</v>
      </c>
      <c r="Z20" s="63">
        <v>1153.2863919333383</v>
      </c>
      <c r="AA20" s="63">
        <v>1968.8217957000008</v>
      </c>
      <c r="AB20" s="63">
        <v>116.10174937701782</v>
      </c>
      <c r="AC20" s="63">
        <v>392.89825062298218</v>
      </c>
      <c r="AD20" s="63">
        <v>482</v>
      </c>
      <c r="AE20" s="63">
        <v>563</v>
      </c>
      <c r="AF20" s="63">
        <v>42</v>
      </c>
      <c r="AG20" s="63">
        <v>794</v>
      </c>
      <c r="AH20" s="63">
        <v>1347</v>
      </c>
      <c r="AI20" s="63">
        <v>2702</v>
      </c>
      <c r="AJ20" s="63">
        <v>-49.984933115506237</v>
      </c>
      <c r="AK20" s="63">
        <v>1104.9849331155062</v>
      </c>
      <c r="AL20" s="63">
        <v>1668.1809714088504</v>
      </c>
      <c r="AM20" s="63">
        <v>3156.8190285911496</v>
      </c>
      <c r="AN20" s="63">
        <v>411.67719487276139</v>
      </c>
      <c r="AO20" s="63">
        <v>1986.3228051272386</v>
      </c>
      <c r="AP20" s="63">
        <v>2514.2930573952572</v>
      </c>
      <c r="AQ20" s="63">
        <v>3144.7069426047428</v>
      </c>
      <c r="AR20" s="63">
        <v>316.29515322978125</v>
      </c>
      <c r="AS20" s="63">
        <v>2024.1658467702191</v>
      </c>
      <c r="AT20" s="63">
        <v>2885.5389999999998</v>
      </c>
      <c r="AU20" s="63">
        <f t="shared" si="11"/>
        <v>3627</v>
      </c>
      <c r="AV20" s="112"/>
      <c r="AW20" s="63">
        <v>282.46101346100016</v>
      </c>
      <c r="AX20" s="63">
        <v>1018.5389865389998</v>
      </c>
      <c r="AY20" s="63">
        <v>2817</v>
      </c>
      <c r="AZ20" s="63">
        <v>2803</v>
      </c>
      <c r="BA20" s="63">
        <v>-251.74237458982643</v>
      </c>
      <c r="BB20" s="63">
        <v>2269.7423745898263</v>
      </c>
      <c r="BC20" s="63">
        <v>2619</v>
      </c>
      <c r="BD20" s="63">
        <f t="shared" si="9"/>
        <v>3265</v>
      </c>
      <c r="BE20" s="112"/>
    </row>
    <row r="21" spans="2:57">
      <c r="B21" s="21"/>
      <c r="C21" s="9"/>
      <c r="D21" s="67"/>
      <c r="E21" s="67"/>
      <c r="F21" s="67"/>
      <c r="G21" s="67"/>
      <c r="H21" s="67"/>
      <c r="I21" s="67"/>
      <c r="J21" s="67"/>
      <c r="K21" s="67"/>
      <c r="L21" s="54"/>
      <c r="M21" s="67"/>
      <c r="N21" s="67"/>
      <c r="O21" s="74"/>
      <c r="P21"/>
      <c r="Q21"/>
      <c r="R21"/>
      <c r="S21"/>
      <c r="T21"/>
      <c r="U21"/>
      <c r="V21"/>
      <c r="W21"/>
      <c r="X21"/>
      <c r="Y21"/>
      <c r="Z21"/>
      <c r="AA21"/>
      <c r="AB21"/>
      <c r="AP21" s="54"/>
      <c r="AS21" s="54"/>
      <c r="AT21" s="54"/>
      <c r="AU21" s="54"/>
      <c r="AV21" s="112"/>
      <c r="AY21" s="89"/>
      <c r="AZ21" s="89"/>
      <c r="BC21" s="54"/>
      <c r="BD21" s="54"/>
      <c r="BE21" s="112"/>
    </row>
    <row r="22" spans="2:57">
      <c r="B22" s="20" t="s">
        <v>34</v>
      </c>
      <c r="C22" s="11"/>
      <c r="D22" s="58">
        <v>-289.30648228117826</v>
      </c>
      <c r="E22" s="58">
        <v>-419.1648171301328</v>
      </c>
      <c r="F22" s="58">
        <v>-683.7437882399114</v>
      </c>
      <c r="G22" s="58">
        <v>-578</v>
      </c>
      <c r="H22" s="58">
        <v>-1065</v>
      </c>
      <c r="I22" s="58">
        <v>-1036</v>
      </c>
      <c r="J22" s="58">
        <v>-1454</v>
      </c>
      <c r="K22" s="58">
        <v>-1550</v>
      </c>
      <c r="L22" s="54"/>
      <c r="M22" s="58">
        <v>-1227</v>
      </c>
      <c r="N22" s="58">
        <v>-1360</v>
      </c>
      <c r="O22" s="74"/>
      <c r="P22" s="58">
        <v>12.692224676350477</v>
      </c>
      <c r="Q22" s="58">
        <v>47.031671960176716</v>
      </c>
      <c r="R22" s="58">
        <v>-49.81786619516113</v>
      </c>
      <c r="S22" s="58">
        <v>-299.21251272254432</v>
      </c>
      <c r="T22" s="58">
        <v>101.32979170073587</v>
      </c>
      <c r="U22" s="58">
        <v>-5.8051116168703629</v>
      </c>
      <c r="V22" s="58">
        <v>-176.52565291150216</v>
      </c>
      <c r="W22" s="58">
        <v>-338.16384430249616</v>
      </c>
      <c r="X22" s="58">
        <v>57.231906320618059</v>
      </c>
      <c r="Y22" s="58">
        <v>22.890904585765988</v>
      </c>
      <c r="Z22" s="58">
        <v>-224.96715848778825</v>
      </c>
      <c r="AA22" s="58">
        <v>-538.89944065850716</v>
      </c>
      <c r="AB22" s="58">
        <v>-91.962979060393508</v>
      </c>
      <c r="AC22" s="58">
        <v>-49.037020939606492</v>
      </c>
      <c r="AD22" s="58">
        <v>-193</v>
      </c>
      <c r="AE22" s="58">
        <v>-244</v>
      </c>
      <c r="AF22" s="58">
        <v>60</v>
      </c>
      <c r="AG22" s="58">
        <v>-269</v>
      </c>
      <c r="AH22" s="58">
        <v>-289</v>
      </c>
      <c r="AI22" s="58">
        <v>-567</v>
      </c>
      <c r="AJ22" s="58">
        <v>-38.67766957603699</v>
      </c>
      <c r="AK22" s="58">
        <v>-311.32233042396302</v>
      </c>
      <c r="AL22" s="58">
        <v>-60.267533570418834</v>
      </c>
      <c r="AM22" s="58">
        <v>-625.73246642958111</v>
      </c>
      <c r="AN22" s="58">
        <v>-76.27196299641848</v>
      </c>
      <c r="AO22" s="58">
        <v>-412.72803700358151</v>
      </c>
      <c r="AP22" s="58">
        <v>-387.48668072526254</v>
      </c>
      <c r="AQ22" s="58">
        <v>-577.51331927473746</v>
      </c>
      <c r="AR22" s="58">
        <v>-25.557464121966511</v>
      </c>
      <c r="AS22" s="58">
        <v>-122.44253587803348</v>
      </c>
      <c r="AT22" s="58">
        <v>-525</v>
      </c>
      <c r="AU22" s="58">
        <f t="shared" ref="AU22:AU23" si="13">K22-AT22-AS22-AR22</f>
        <v>-877</v>
      </c>
      <c r="AV22" s="112"/>
      <c r="AW22" s="58">
        <v>-50.428726714066272</v>
      </c>
      <c r="AX22" s="58">
        <v>-219.57127328593373</v>
      </c>
      <c r="AY22" s="58">
        <v>-448</v>
      </c>
      <c r="AZ22" s="58">
        <v>-508.99999999999994</v>
      </c>
      <c r="BA22" s="58">
        <v>88.050041441955074</v>
      </c>
      <c r="BB22" s="58">
        <v>-172.05004144195507</v>
      </c>
      <c r="BC22" s="58">
        <v>-471</v>
      </c>
      <c r="BD22" s="58">
        <f t="shared" si="9"/>
        <v>-805</v>
      </c>
      <c r="BE22" s="112"/>
    </row>
    <row r="23" spans="2:57">
      <c r="B23" s="18" t="s">
        <v>46</v>
      </c>
      <c r="C23" s="8"/>
      <c r="D23" s="63">
        <f t="shared" ref="D23:N23" si="14">D22+D20</f>
        <v>456.11507567234781</v>
      </c>
      <c r="E23" s="63">
        <f t="shared" si="14"/>
        <v>1152.7428550766556</v>
      </c>
      <c r="F23" s="63">
        <f t="shared" si="14"/>
        <v>2042.8002316301649</v>
      </c>
      <c r="G23" s="63">
        <f t="shared" si="14"/>
        <v>976</v>
      </c>
      <c r="H23" s="63">
        <f t="shared" si="14"/>
        <v>3820</v>
      </c>
      <c r="I23" s="63">
        <f t="shared" si="14"/>
        <v>4844</v>
      </c>
      <c r="J23" s="63">
        <f t="shared" si="14"/>
        <v>6603</v>
      </c>
      <c r="K23" s="63">
        <f t="shared" si="14"/>
        <v>7303</v>
      </c>
      <c r="L23" s="54"/>
      <c r="M23" s="63">
        <f t="shared" si="14"/>
        <v>5694</v>
      </c>
      <c r="N23" s="63">
        <f t="shared" si="14"/>
        <v>6542</v>
      </c>
      <c r="O23" s="74"/>
      <c r="P23" s="63">
        <v>-608.59334409458438</v>
      </c>
      <c r="Q23" s="63">
        <v>-258.91552208981341</v>
      </c>
      <c r="R23" s="63">
        <v>357.78750183681041</v>
      </c>
      <c r="S23" s="63">
        <v>965.83644001993525</v>
      </c>
      <c r="T23" s="63">
        <v>-595.13995692093374</v>
      </c>
      <c r="U23" s="63">
        <v>24.853674493953918</v>
      </c>
      <c r="V23" s="63">
        <v>608.13931391751987</v>
      </c>
      <c r="W23" s="63">
        <v>1114.8898235861157</v>
      </c>
      <c r="X23" s="63">
        <v>-434.97841897640615</v>
      </c>
      <c r="Y23" s="63">
        <v>119.53706211952726</v>
      </c>
      <c r="Z23" s="63">
        <v>928.31923344555003</v>
      </c>
      <c r="AA23" s="63">
        <v>1429.9223550414938</v>
      </c>
      <c r="AB23" s="63">
        <v>24.138770316624317</v>
      </c>
      <c r="AC23" s="63">
        <v>343.86122968337565</v>
      </c>
      <c r="AD23" s="63">
        <v>289</v>
      </c>
      <c r="AE23" s="63">
        <v>319</v>
      </c>
      <c r="AF23" s="63">
        <v>102</v>
      </c>
      <c r="AG23" s="63">
        <v>525</v>
      </c>
      <c r="AH23" s="63">
        <v>1058</v>
      </c>
      <c r="AI23" s="63">
        <v>2135</v>
      </c>
      <c r="AJ23" s="63">
        <v>-88.662602691543228</v>
      </c>
      <c r="AK23" s="63">
        <v>793.66260269154327</v>
      </c>
      <c r="AL23" s="63">
        <v>1607.9134378384315</v>
      </c>
      <c r="AM23" s="63">
        <v>2531.0865621615685</v>
      </c>
      <c r="AN23" s="63">
        <v>335.4052318763429</v>
      </c>
      <c r="AO23" s="63">
        <v>1573.5947681236571</v>
      </c>
      <c r="AP23" s="63">
        <v>2126.8063766699947</v>
      </c>
      <c r="AQ23" s="63">
        <v>2567.1936233300053</v>
      </c>
      <c r="AR23" s="63">
        <v>290.73768910781473</v>
      </c>
      <c r="AS23" s="63">
        <v>1901.7233108921855</v>
      </c>
      <c r="AT23" s="63">
        <v>2360.5389999999998</v>
      </c>
      <c r="AU23" s="63">
        <f t="shared" si="13"/>
        <v>2750</v>
      </c>
      <c r="AV23" s="112"/>
      <c r="AW23" s="63">
        <v>232.03228674693389</v>
      </c>
      <c r="AX23" s="63">
        <v>798.96771325306611</v>
      </c>
      <c r="AY23" s="63">
        <v>2369</v>
      </c>
      <c r="AZ23" s="63">
        <v>2294</v>
      </c>
      <c r="BA23" s="63">
        <v>-163.69233314787135</v>
      </c>
      <c r="BB23" s="63">
        <v>2097.6923331478715</v>
      </c>
      <c r="BC23" s="63">
        <v>2148</v>
      </c>
      <c r="BD23" s="63">
        <f t="shared" si="9"/>
        <v>2460</v>
      </c>
      <c r="BE23" s="112"/>
    </row>
    <row r="24" spans="2:57">
      <c r="B24" s="5"/>
      <c r="G24" s="54"/>
      <c r="H24" s="54"/>
      <c r="I24" s="54"/>
      <c r="J24" s="54"/>
      <c r="K24" s="54"/>
      <c r="L24" s="54"/>
      <c r="M24" s="54"/>
      <c r="N24" s="54"/>
      <c r="O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V24" s="112"/>
      <c r="BE24" s="112"/>
    </row>
    <row r="25" spans="2:57">
      <c r="G25" s="54"/>
      <c r="H25" s="54"/>
      <c r="I25" s="54"/>
      <c r="J25" s="54"/>
      <c r="K25" s="54"/>
      <c r="L25" s="54"/>
      <c r="M25" s="54"/>
      <c r="N25" s="54"/>
      <c r="O25" s="54"/>
      <c r="R25"/>
      <c r="S25"/>
      <c r="T25"/>
      <c r="U25"/>
      <c r="V25"/>
      <c r="W25"/>
      <c r="X25"/>
      <c r="Y25"/>
      <c r="Z25"/>
      <c r="AA25"/>
      <c r="AB25"/>
      <c r="AV25" s="89"/>
      <c r="BE25" s="112"/>
    </row>
    <row r="26" spans="2:57">
      <c r="G26" s="54"/>
      <c r="H26" s="54"/>
      <c r="I26" s="54"/>
      <c r="J26" s="54"/>
      <c r="K26" s="54"/>
      <c r="L26" s="54"/>
      <c r="M26" s="54"/>
      <c r="N26" s="54"/>
      <c r="O26" s="54"/>
      <c r="R26"/>
      <c r="S26"/>
      <c r="T26"/>
      <c r="U26"/>
      <c r="V26"/>
      <c r="W26"/>
      <c r="X26"/>
      <c r="Y26"/>
      <c r="Z26"/>
      <c r="AA26"/>
      <c r="AB26"/>
    </row>
    <row r="27" spans="2:57">
      <c r="G27" s="54"/>
      <c r="H27" s="54"/>
      <c r="I27" s="54"/>
      <c r="J27" s="54"/>
      <c r="K27" s="54"/>
      <c r="L27" s="54"/>
      <c r="M27" s="54"/>
      <c r="N27" s="54"/>
      <c r="O27" s="54"/>
      <c r="R27"/>
      <c r="S27"/>
      <c r="T27"/>
      <c r="U27"/>
      <c r="V27"/>
      <c r="W27"/>
      <c r="X27"/>
      <c r="Y27"/>
      <c r="Z27"/>
      <c r="AA27"/>
      <c r="AB27"/>
    </row>
    <row r="28" spans="2:57">
      <c r="B28" s="1"/>
      <c r="G28" s="54"/>
      <c r="H28" s="54"/>
      <c r="I28" s="54"/>
      <c r="J28" s="54"/>
      <c r="K28" s="54"/>
      <c r="L28" s="54"/>
      <c r="M28" s="54"/>
      <c r="N28" s="54"/>
      <c r="O28" s="54"/>
      <c r="R28"/>
      <c r="S28"/>
      <c r="T28"/>
      <c r="U28"/>
      <c r="V28"/>
      <c r="W28"/>
      <c r="X28"/>
      <c r="Y28"/>
      <c r="Z28"/>
      <c r="AA28"/>
      <c r="AB28"/>
    </row>
    <row r="29" spans="2:57">
      <c r="G29" s="54"/>
      <c r="H29" s="54"/>
      <c r="I29" s="54"/>
      <c r="J29" s="54"/>
      <c r="K29" s="54"/>
      <c r="L29" s="54"/>
      <c r="M29" s="54"/>
      <c r="N29" s="54"/>
      <c r="O29" s="54"/>
      <c r="R29"/>
      <c r="S29"/>
      <c r="T29"/>
      <c r="U29"/>
      <c r="V29"/>
      <c r="W29"/>
      <c r="X29"/>
      <c r="Y29"/>
      <c r="Z29"/>
      <c r="AA29"/>
      <c r="AB29"/>
    </row>
    <row r="30" spans="2:57">
      <c r="G30" s="54"/>
      <c r="H30" s="54"/>
      <c r="I30" s="54"/>
      <c r="J30" s="54"/>
      <c r="K30" s="54"/>
      <c r="L30" s="54"/>
      <c r="M30" s="54"/>
      <c r="N30" s="54"/>
      <c r="O30" s="54"/>
      <c r="AO30" s="56"/>
    </row>
    <row r="31" spans="2:57">
      <c r="G31" s="54"/>
      <c r="H31" s="54"/>
      <c r="I31" s="54"/>
      <c r="J31" s="54"/>
      <c r="K31" s="54"/>
      <c r="L31" s="54"/>
      <c r="M31" s="54"/>
      <c r="N31" s="54"/>
      <c r="O31" s="54"/>
      <c r="AO31" s="56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D57"/>
  <sheetViews>
    <sheetView showGridLines="0" workbookViewId="0">
      <pane xSplit="3" ySplit="7" topLeftCell="D8" activePane="bottomRight" state="frozen"/>
      <selection activeCell="O30" sqref="O30"/>
      <selection pane="topRight" activeCell="O30" sqref="O30"/>
      <selection pane="bottomLeft" activeCell="O30" sqref="O30"/>
      <selection pane="bottomRight" activeCell="L9" sqref="L9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4" width="10.109375" style="54" customWidth="1"/>
    <col min="5" max="6" width="8.88671875" style="54" customWidth="1"/>
    <col min="7" max="14" width="8.88671875" customWidth="1"/>
    <col min="15" max="15" width="27.109375" customWidth="1"/>
    <col min="16" max="17" width="8.88671875" style="54" customWidth="1"/>
    <col min="18" max="19" width="10.6640625" style="54" customWidth="1"/>
    <col min="20" max="31" width="8.88671875" style="54" customWidth="1"/>
    <col min="32" max="38" width="8.88671875" customWidth="1"/>
    <col min="39" max="39" width="10.44140625" customWidth="1"/>
    <col min="40" max="46" width="8.88671875" customWidth="1"/>
    <col min="47" max="47" width="8.88671875" style="89" customWidth="1"/>
    <col min="48" max="50" width="8.88671875" customWidth="1"/>
    <col min="51" max="52" width="10" customWidth="1"/>
    <col min="53" max="53" width="8.88671875" customWidth="1"/>
    <col min="56" max="56" width="9.109375" style="89"/>
  </cols>
  <sheetData>
    <row r="2" spans="2:56" ht="34.799999999999997">
      <c r="B2" s="118" t="str">
        <f>Content!B14</f>
        <v>Consolidated Statement of Financial Position</v>
      </c>
    </row>
    <row r="3" spans="2:56" ht="16.8">
      <c r="B3" s="117" t="s">
        <v>0</v>
      </c>
    </row>
    <row r="4" spans="2:56" s="75" customFormat="1">
      <c r="D4" s="54"/>
      <c r="E4" s="76"/>
      <c r="F4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/>
      <c r="AB4" s="76"/>
      <c r="AC4" s="76"/>
      <c r="AD4" s="76"/>
      <c r="AE4" s="76"/>
      <c r="AY4" s="102" t="s">
        <v>190</v>
      </c>
    </row>
    <row r="5" spans="2:56" s="75" customFormat="1" ht="15" thickBot="1">
      <c r="B5" s="77"/>
      <c r="D5" s="86" t="s">
        <v>173</v>
      </c>
      <c r="E5" s="86" t="s">
        <v>173</v>
      </c>
      <c r="F5" s="86" t="s">
        <v>173</v>
      </c>
      <c r="G5" s="86" t="s">
        <v>179</v>
      </c>
      <c r="H5" s="86" t="s">
        <v>179</v>
      </c>
      <c r="I5" s="86" t="s">
        <v>179</v>
      </c>
      <c r="J5" s="86" t="s">
        <v>179</v>
      </c>
      <c r="K5" s="86" t="s">
        <v>179</v>
      </c>
      <c r="M5" s="86" t="s">
        <v>179</v>
      </c>
      <c r="N5" s="86" t="s">
        <v>179</v>
      </c>
      <c r="P5" s="86" t="s">
        <v>173</v>
      </c>
      <c r="Q5" s="86" t="s">
        <v>173</v>
      </c>
      <c r="R5" s="86" t="s">
        <v>173</v>
      </c>
      <c r="S5" s="86" t="s">
        <v>173</v>
      </c>
      <c r="T5" s="86" t="s">
        <v>173</v>
      </c>
      <c r="U5" s="86" t="s">
        <v>173</v>
      </c>
      <c r="V5" s="86" t="s">
        <v>173</v>
      </c>
      <c r="W5" s="86" t="s">
        <v>173</v>
      </c>
      <c r="X5" s="86" t="s">
        <v>173</v>
      </c>
      <c r="Y5" s="86" t="s">
        <v>173</v>
      </c>
      <c r="Z5" s="86" t="s">
        <v>173</v>
      </c>
      <c r="AA5" s="86" t="s">
        <v>173</v>
      </c>
      <c r="AB5" s="86" t="s">
        <v>173</v>
      </c>
      <c r="AC5" s="86" t="s">
        <v>173</v>
      </c>
      <c r="AD5" s="86" t="s">
        <v>173</v>
      </c>
      <c r="AE5" s="86" t="s">
        <v>179</v>
      </c>
      <c r="AF5" s="86" t="s">
        <v>179</v>
      </c>
      <c r="AG5" s="86" t="s">
        <v>179</v>
      </c>
      <c r="AH5" s="86" t="s">
        <v>179</v>
      </c>
      <c r="AI5" s="86" t="s">
        <v>179</v>
      </c>
      <c r="AJ5" s="86" t="s">
        <v>179</v>
      </c>
      <c r="AK5" s="86" t="s">
        <v>179</v>
      </c>
      <c r="AL5" s="86" t="s">
        <v>179</v>
      </c>
      <c r="AM5" s="86" t="s">
        <v>179</v>
      </c>
      <c r="AN5" s="86" t="s">
        <v>179</v>
      </c>
      <c r="AO5" s="86" t="s">
        <v>179</v>
      </c>
      <c r="AP5" s="86" t="s">
        <v>179</v>
      </c>
      <c r="AQ5" s="86" t="s">
        <v>179</v>
      </c>
      <c r="AR5" s="86" t="s">
        <v>179</v>
      </c>
      <c r="AS5" s="86" t="s">
        <v>179</v>
      </c>
      <c r="AT5" s="86" t="s">
        <v>179</v>
      </c>
      <c r="AU5" s="86" t="s">
        <v>179</v>
      </c>
      <c r="AW5" s="86" t="s">
        <v>179</v>
      </c>
      <c r="AX5" s="86" t="s">
        <v>179</v>
      </c>
      <c r="AY5" s="86" t="s">
        <v>179</v>
      </c>
      <c r="AZ5" s="86" t="s">
        <v>179</v>
      </c>
      <c r="BA5" s="86" t="s">
        <v>179</v>
      </c>
      <c r="BB5" s="86" t="s">
        <v>179</v>
      </c>
      <c r="BC5" s="86" t="s">
        <v>179</v>
      </c>
      <c r="BD5" s="86" t="s">
        <v>179</v>
      </c>
    </row>
    <row r="6" spans="2:56" ht="15" thickTop="1">
      <c r="B6" s="121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">
        <v>9</v>
      </c>
      <c r="K6" s="4" t="str">
        <f>I6</f>
        <v>IAS 17</v>
      </c>
      <c r="M6" s="4" t="s">
        <v>123</v>
      </c>
      <c r="N6" s="4" t="s">
        <v>123</v>
      </c>
      <c r="O6" s="13"/>
      <c r="P6" s="59" t="str">
        <f>J6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AZ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59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>AI6</f>
        <v>IAS 17</v>
      </c>
      <c r="AO6" s="4" t="str">
        <f t="shared" ref="AO6:AQ6" si="3">AN6</f>
        <v>IAS 17</v>
      </c>
      <c r="AP6" s="4" t="str">
        <f t="shared" si="3"/>
        <v>IAS 17</v>
      </c>
      <c r="AQ6" s="4" t="str">
        <f t="shared" si="3"/>
        <v>IAS 17</v>
      </c>
      <c r="AR6" s="4" t="s">
        <v>9</v>
      </c>
      <c r="AS6" s="4" t="s">
        <v>9</v>
      </c>
      <c r="AT6" s="4" t="s">
        <v>9</v>
      </c>
      <c r="AU6" s="4" t="s">
        <v>9</v>
      </c>
      <c r="AW6" s="4" t="str">
        <f>M6</f>
        <v>IFRS 16</v>
      </c>
      <c r="AX6" s="4" t="str">
        <f t="shared" si="2"/>
        <v>IFRS 16</v>
      </c>
      <c r="AY6" s="4" t="str">
        <f t="shared" si="2"/>
        <v>IFRS 16</v>
      </c>
      <c r="AZ6" s="4" t="str">
        <f t="shared" si="2"/>
        <v>IFRS 16</v>
      </c>
      <c r="BA6" s="4" t="str">
        <f>AW6</f>
        <v>IFRS 16</v>
      </c>
      <c r="BB6" s="4" t="str">
        <f>BA6</f>
        <v>IFRS 16</v>
      </c>
      <c r="BC6" s="4" t="str">
        <f>BB6</f>
        <v>IFRS 16</v>
      </c>
      <c r="BD6" s="4" t="str">
        <f t="shared" ref="BD6" si="4">BC6</f>
        <v>IFRS 16</v>
      </c>
    </row>
    <row r="7" spans="2:56" ht="15" thickBot="1">
      <c r="B7" s="122"/>
      <c r="C7" s="3"/>
      <c r="D7" s="60">
        <v>2012</v>
      </c>
      <c r="E7" s="60">
        <v>2013</v>
      </c>
      <c r="F7" s="60">
        <v>2014</v>
      </c>
      <c r="G7" s="3">
        <f>F7+1</f>
        <v>2015</v>
      </c>
      <c r="H7" s="3">
        <f t="shared" ref="H7:I7" si="5">G7+1</f>
        <v>2016</v>
      </c>
      <c r="I7" s="3">
        <f t="shared" si="5"/>
        <v>2017</v>
      </c>
      <c r="J7" s="3">
        <v>2018</v>
      </c>
      <c r="K7" s="3">
        <f>N7</f>
        <v>2019</v>
      </c>
      <c r="M7" s="3">
        <v>2018</v>
      </c>
      <c r="N7" s="3">
        <f>J7+1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60" t="s">
        <v>19</v>
      </c>
      <c r="AD7" s="60" t="s">
        <v>20</v>
      </c>
      <c r="AE7" s="60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167</v>
      </c>
      <c r="AS7" s="57" t="s">
        <v>168</v>
      </c>
      <c r="AT7" s="3" t="s">
        <v>169</v>
      </c>
      <c r="AU7" s="104" t="s">
        <v>170</v>
      </c>
      <c r="AW7" s="3" t="s">
        <v>47</v>
      </c>
      <c r="AX7" s="3" t="s">
        <v>48</v>
      </c>
      <c r="AY7" s="3" t="s">
        <v>49</v>
      </c>
      <c r="AZ7" s="72" t="s">
        <v>50</v>
      </c>
      <c r="BA7" s="3" t="s">
        <v>167</v>
      </c>
      <c r="BB7" s="3" t="s">
        <v>168</v>
      </c>
      <c r="BC7" s="3" t="s">
        <v>169</v>
      </c>
      <c r="BD7" s="104" t="s">
        <v>170</v>
      </c>
    </row>
    <row r="8" spans="2:56" ht="15" thickTop="1">
      <c r="B8" s="13"/>
      <c r="C8" s="13"/>
      <c r="D8" s="61"/>
      <c r="E8" s="61"/>
      <c r="F8" s="61"/>
      <c r="G8" s="13"/>
      <c r="H8" s="13"/>
      <c r="I8" s="13"/>
      <c r="J8" s="13"/>
      <c r="K8" s="13"/>
      <c r="M8" s="13"/>
      <c r="N8" s="13"/>
      <c r="O8" s="13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W8" s="13"/>
      <c r="AX8" s="13"/>
      <c r="AY8" s="13"/>
      <c r="AZ8" s="13"/>
    </row>
    <row r="9" spans="2:56">
      <c r="B9" s="22" t="s">
        <v>51</v>
      </c>
      <c r="C9" s="13"/>
      <c r="D9" s="61"/>
      <c r="E9" s="61"/>
      <c r="F9" s="61"/>
      <c r="G9" s="13"/>
      <c r="H9" s="13"/>
      <c r="I9" s="13"/>
      <c r="J9" s="13"/>
      <c r="K9" s="13"/>
      <c r="M9" s="13"/>
      <c r="N9" s="13"/>
      <c r="O9" s="7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W9" s="13"/>
      <c r="AX9" s="13"/>
      <c r="AY9" s="13"/>
      <c r="AZ9" s="13"/>
    </row>
    <row r="10" spans="2:56">
      <c r="B10" s="13"/>
      <c r="C10" s="13"/>
      <c r="D10" s="61"/>
      <c r="E10" s="61"/>
      <c r="F10" s="61"/>
      <c r="G10" s="61"/>
      <c r="H10" s="61"/>
      <c r="I10" s="61"/>
      <c r="J10" s="61"/>
      <c r="K10" s="61"/>
      <c r="L10" s="54"/>
      <c r="M10" s="61"/>
      <c r="N10" s="61"/>
      <c r="O10" s="7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W10" s="13"/>
      <c r="AX10" s="13"/>
      <c r="AY10" s="13"/>
      <c r="AZ10" s="13"/>
    </row>
    <row r="11" spans="2:56">
      <c r="B11" s="23" t="s">
        <v>85</v>
      </c>
      <c r="C11" s="10"/>
      <c r="D11" s="62">
        <v>2180.5929999999998</v>
      </c>
      <c r="E11" s="62">
        <v>2240.3589999999999</v>
      </c>
      <c r="F11" s="62">
        <v>3098.01</v>
      </c>
      <c r="G11" s="62">
        <v>6791</v>
      </c>
      <c r="H11" s="62">
        <v>6943</v>
      </c>
      <c r="I11" s="62">
        <v>7486</v>
      </c>
      <c r="J11" s="62">
        <v>9226</v>
      </c>
      <c r="K11" s="62">
        <v>9755</v>
      </c>
      <c r="L11" s="54"/>
      <c r="M11" s="62">
        <v>9226</v>
      </c>
      <c r="N11" s="62">
        <v>9755</v>
      </c>
      <c r="O11" s="71"/>
      <c r="P11" s="62">
        <v>1848.348</v>
      </c>
      <c r="Q11" s="62">
        <v>1888.819</v>
      </c>
      <c r="R11" s="62">
        <v>2015.115</v>
      </c>
      <c r="S11" s="62">
        <f>D11</f>
        <v>2180.5929999999998</v>
      </c>
      <c r="T11" s="62">
        <v>2091.5790000000002</v>
      </c>
      <c r="U11" s="62">
        <v>2046.771</v>
      </c>
      <c r="V11" s="62">
        <v>2071.2190000000001</v>
      </c>
      <c r="W11" s="62">
        <f>E11</f>
        <v>2240.3589999999999</v>
      </c>
      <c r="X11" s="62">
        <v>2242.5650000000001</v>
      </c>
      <c r="Y11" s="62">
        <v>2435.0479999999998</v>
      </c>
      <c r="Z11" s="62">
        <v>2741.21</v>
      </c>
      <c r="AA11" s="62">
        <f t="shared" ref="AA11:AA15" si="6">F11</f>
        <v>3098.01</v>
      </c>
      <c r="AB11" s="62">
        <v>3902.23</v>
      </c>
      <c r="AC11" s="62">
        <v>4550.5730000000003</v>
      </c>
      <c r="AD11" s="62">
        <v>6309.1450000000004</v>
      </c>
      <c r="AE11" s="62">
        <f>G11</f>
        <v>6791</v>
      </c>
      <c r="AF11" s="10">
        <v>6685.1540000000005</v>
      </c>
      <c r="AG11" s="10">
        <v>6578</v>
      </c>
      <c r="AH11" s="10">
        <v>6552</v>
      </c>
      <c r="AI11" s="10">
        <f>H11</f>
        <v>6943</v>
      </c>
      <c r="AJ11" s="10">
        <v>6776.375</v>
      </c>
      <c r="AK11" s="10">
        <v>6656</v>
      </c>
      <c r="AL11" s="10">
        <v>6679.5159999999996</v>
      </c>
      <c r="AM11" s="10">
        <f>I11</f>
        <v>7486</v>
      </c>
      <c r="AN11" s="10">
        <v>7327.2370000000001</v>
      </c>
      <c r="AO11" s="10">
        <v>7268.8620000000001</v>
      </c>
      <c r="AP11" s="62">
        <v>7190.973</v>
      </c>
      <c r="AQ11" s="10">
        <f>J11</f>
        <v>9226</v>
      </c>
      <c r="AR11" s="10">
        <v>9904.2510000000002</v>
      </c>
      <c r="AS11" s="10">
        <v>9798.4210000000003</v>
      </c>
      <c r="AT11" s="62">
        <v>9580</v>
      </c>
      <c r="AU11" s="62">
        <f>K11</f>
        <v>9755</v>
      </c>
      <c r="AW11" s="10">
        <v>7327.2370000000001</v>
      </c>
      <c r="AX11" s="10">
        <v>7269</v>
      </c>
      <c r="AY11" s="62">
        <v>7190.973</v>
      </c>
      <c r="AZ11" s="10">
        <f>M11</f>
        <v>9226</v>
      </c>
      <c r="BA11" s="10">
        <v>9904.2510000000002</v>
      </c>
      <c r="BB11" s="62">
        <v>9798.4210000000003</v>
      </c>
      <c r="BC11" s="62">
        <v>9580</v>
      </c>
      <c r="BD11" s="62">
        <f>N11</f>
        <v>9755</v>
      </c>
    </row>
    <row r="12" spans="2:56">
      <c r="B12" s="23" t="s">
        <v>81</v>
      </c>
      <c r="C12" s="10"/>
      <c r="D12" s="62">
        <v>509.46699999999998</v>
      </c>
      <c r="E12" s="62">
        <v>607.38100000000009</v>
      </c>
      <c r="F12" s="62">
        <v>1008.852</v>
      </c>
      <c r="G12" s="62">
        <v>1300</v>
      </c>
      <c r="H12" s="62">
        <v>1301</v>
      </c>
      <c r="I12" s="62">
        <v>1362</v>
      </c>
      <c r="J12" s="62">
        <v>1255</v>
      </c>
      <c r="K12" s="62">
        <v>1464</v>
      </c>
      <c r="L12" s="54"/>
      <c r="M12" s="62">
        <v>1255</v>
      </c>
      <c r="N12" s="62">
        <v>1464</v>
      </c>
      <c r="O12" s="71"/>
      <c r="P12" s="62">
        <v>170.721</v>
      </c>
      <c r="Q12" s="62">
        <v>169.91399999999999</v>
      </c>
      <c r="R12" s="62">
        <v>539.15200000000004</v>
      </c>
      <c r="S12" s="62">
        <f>D12</f>
        <v>509.46699999999998</v>
      </c>
      <c r="T12" s="62">
        <v>505.02100000000002</v>
      </c>
      <c r="U12" s="62">
        <v>520.40200000000004</v>
      </c>
      <c r="V12" s="62">
        <v>533.54899999999998</v>
      </c>
      <c r="W12" s="62">
        <f>E12</f>
        <v>607.38100000000009</v>
      </c>
      <c r="X12" s="62">
        <v>632.87800000000004</v>
      </c>
      <c r="Y12" s="62">
        <v>682.62400000000002</v>
      </c>
      <c r="Z12" s="62">
        <v>758.86</v>
      </c>
      <c r="AA12" s="62">
        <f t="shared" si="6"/>
        <v>1008.852</v>
      </c>
      <c r="AB12" s="62">
        <v>1161.923</v>
      </c>
      <c r="AC12" s="62">
        <v>1278.8920000000001</v>
      </c>
      <c r="AD12" s="62">
        <v>1401.6489999999999</v>
      </c>
      <c r="AE12" s="62">
        <f>G12</f>
        <v>1300</v>
      </c>
      <c r="AF12" s="10">
        <v>1302.508</v>
      </c>
      <c r="AG12" s="10">
        <v>1317</v>
      </c>
      <c r="AH12" s="10">
        <v>1289</v>
      </c>
      <c r="AI12" s="10">
        <f>H12</f>
        <v>1301</v>
      </c>
      <c r="AJ12" s="10">
        <v>1268.9179999999999</v>
      </c>
      <c r="AK12" s="10">
        <v>1479</v>
      </c>
      <c r="AL12" s="10">
        <v>1430.049</v>
      </c>
      <c r="AM12" s="10">
        <f t="shared" ref="AM12:AM15" si="7">I12</f>
        <v>1362</v>
      </c>
      <c r="AN12" s="10">
        <v>1284.3489999999999</v>
      </c>
      <c r="AO12" s="10">
        <v>1204.9760000000001</v>
      </c>
      <c r="AP12" s="62">
        <v>1151.4280000000001</v>
      </c>
      <c r="AQ12" s="10">
        <f t="shared" ref="AQ12:AQ15" si="8">J12</f>
        <v>1255</v>
      </c>
      <c r="AR12" s="10">
        <v>1469.68</v>
      </c>
      <c r="AS12" s="10">
        <v>1386.97</v>
      </c>
      <c r="AT12" s="62">
        <v>1422</v>
      </c>
      <c r="AU12" s="62">
        <f t="shared" ref="AU12:AU16" si="9">K12</f>
        <v>1464</v>
      </c>
      <c r="AW12" s="10">
        <f>AN12</f>
        <v>1284.3489999999999</v>
      </c>
      <c r="AX12" s="10">
        <v>1205</v>
      </c>
      <c r="AY12" s="62">
        <v>1151.4269160950571</v>
      </c>
      <c r="AZ12" s="10">
        <f t="shared" ref="AZ12:AZ15" si="10">M12</f>
        <v>1255</v>
      </c>
      <c r="BA12" s="10">
        <v>1469.6793116970475</v>
      </c>
      <c r="BB12" s="62">
        <v>1387</v>
      </c>
      <c r="BC12" s="62">
        <v>1422</v>
      </c>
      <c r="BD12" s="62">
        <f t="shared" ref="BD12:BD16" si="11">N12</f>
        <v>1464</v>
      </c>
    </row>
    <row r="13" spans="2:56">
      <c r="B13" s="23" t="s">
        <v>82</v>
      </c>
      <c r="C13" s="10"/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54"/>
      <c r="M13" s="62">
        <v>29606</v>
      </c>
      <c r="N13" s="62">
        <v>32988</v>
      </c>
      <c r="O13" s="71"/>
      <c r="P13" s="62">
        <v>0</v>
      </c>
      <c r="Q13" s="62">
        <v>0</v>
      </c>
      <c r="R13" s="62">
        <v>0</v>
      </c>
      <c r="S13" s="62">
        <f>D13</f>
        <v>0</v>
      </c>
      <c r="T13" s="62">
        <v>0</v>
      </c>
      <c r="U13" s="62">
        <v>0</v>
      </c>
      <c r="V13" s="62">
        <v>0</v>
      </c>
      <c r="W13" s="62">
        <f>E13</f>
        <v>0</v>
      </c>
      <c r="X13" s="62">
        <v>0</v>
      </c>
      <c r="Y13" s="62">
        <v>0</v>
      </c>
      <c r="Z13" s="62">
        <v>0</v>
      </c>
      <c r="AA13" s="62">
        <f t="shared" si="6"/>
        <v>0</v>
      </c>
      <c r="AB13" s="62">
        <v>0</v>
      </c>
      <c r="AC13" s="62">
        <v>0</v>
      </c>
      <c r="AD13" s="62">
        <v>0</v>
      </c>
      <c r="AE13" s="62">
        <f>G13</f>
        <v>0</v>
      </c>
      <c r="AF13" s="10">
        <v>0</v>
      </c>
      <c r="AG13" s="10">
        <v>0</v>
      </c>
      <c r="AH13" s="10">
        <v>0</v>
      </c>
      <c r="AI13" s="10">
        <f>H13</f>
        <v>0</v>
      </c>
      <c r="AJ13" s="10">
        <v>0</v>
      </c>
      <c r="AK13" s="10">
        <v>0</v>
      </c>
      <c r="AL13" s="10">
        <v>0</v>
      </c>
      <c r="AM13" s="10">
        <f t="shared" si="7"/>
        <v>0</v>
      </c>
      <c r="AN13" s="10">
        <v>0</v>
      </c>
      <c r="AO13" s="10"/>
      <c r="AP13" s="62">
        <v>0</v>
      </c>
      <c r="AQ13" s="10">
        <f t="shared" si="8"/>
        <v>0</v>
      </c>
      <c r="AR13" s="10">
        <v>0</v>
      </c>
      <c r="AS13" s="10">
        <v>0</v>
      </c>
      <c r="AT13" s="10">
        <v>0</v>
      </c>
      <c r="AU13" s="10">
        <f t="shared" si="9"/>
        <v>0</v>
      </c>
      <c r="AW13" s="10">
        <f>31752-AW12</f>
        <v>30467.651000000002</v>
      </c>
      <c r="AX13" s="10">
        <v>32079</v>
      </c>
      <c r="AY13" s="62">
        <f>30898.396-AY12</f>
        <v>29746.969083904944</v>
      </c>
      <c r="AZ13" s="10">
        <f t="shared" si="10"/>
        <v>29606</v>
      </c>
      <c r="BA13" s="10">
        <v>31949.758688302954</v>
      </c>
      <c r="BB13" s="62">
        <v>30350</v>
      </c>
      <c r="BC13" s="62">
        <v>30258</v>
      </c>
      <c r="BD13" s="62">
        <f t="shared" si="11"/>
        <v>32988</v>
      </c>
    </row>
    <row r="14" spans="2:56">
      <c r="B14" s="23" t="s">
        <v>57</v>
      </c>
      <c r="C14" s="10"/>
      <c r="D14" s="62">
        <v>51.177999999999997</v>
      </c>
      <c r="E14" s="62">
        <v>86.132999999999996</v>
      </c>
      <c r="F14" s="62">
        <v>6.7350000000000003</v>
      </c>
      <c r="G14" s="62">
        <v>1151</v>
      </c>
      <c r="H14" s="62">
        <v>1708</v>
      </c>
      <c r="I14" s="62">
        <v>1593</v>
      </c>
      <c r="J14" s="62">
        <v>1630</v>
      </c>
      <c r="K14" s="62">
        <v>1998</v>
      </c>
      <c r="L14" s="54"/>
      <c r="M14" s="62">
        <v>1858</v>
      </c>
      <c r="N14" s="62">
        <v>2415</v>
      </c>
      <c r="O14" s="71"/>
      <c r="P14" s="62">
        <v>478.58699999999999</v>
      </c>
      <c r="Q14" s="62">
        <v>481.47699999999998</v>
      </c>
      <c r="R14" s="62">
        <v>448.63600000000002</v>
      </c>
      <c r="S14" s="62">
        <f>D14</f>
        <v>51.177999999999997</v>
      </c>
      <c r="T14" s="62">
        <v>54.271999999999998</v>
      </c>
      <c r="U14" s="62">
        <v>79.683000000000007</v>
      </c>
      <c r="V14" s="62">
        <v>64.451999999999998</v>
      </c>
      <c r="W14" s="62">
        <f>E14</f>
        <v>86.132999999999996</v>
      </c>
      <c r="X14" s="62">
        <v>113.411</v>
      </c>
      <c r="Y14" s="62">
        <v>135.714</v>
      </c>
      <c r="Z14" s="62">
        <v>168.77099999999999</v>
      </c>
      <c r="AA14" s="62">
        <f t="shared" si="6"/>
        <v>6.7350000000000003</v>
      </c>
      <c r="AB14" s="62">
        <v>0</v>
      </c>
      <c r="AC14" s="62">
        <v>21.388000000000002</v>
      </c>
      <c r="AD14" s="62">
        <v>20.282</v>
      </c>
      <c r="AE14" s="62">
        <f>G14</f>
        <v>1151</v>
      </c>
      <c r="AF14" s="10">
        <v>1260.73</v>
      </c>
      <c r="AG14" s="10">
        <v>1273</v>
      </c>
      <c r="AH14" s="10">
        <v>1307</v>
      </c>
      <c r="AI14" s="10">
        <f>H14</f>
        <v>1708</v>
      </c>
      <c r="AJ14" s="10">
        <v>1722.3309999999999</v>
      </c>
      <c r="AK14" s="10">
        <v>1552</v>
      </c>
      <c r="AL14" s="10">
        <v>1655.5940000000001</v>
      </c>
      <c r="AM14" s="10">
        <f t="shared" si="7"/>
        <v>1593</v>
      </c>
      <c r="AN14" s="10">
        <v>1536.6420000000001</v>
      </c>
      <c r="AO14" s="10">
        <v>1379</v>
      </c>
      <c r="AP14" s="62">
        <v>1414.528</v>
      </c>
      <c r="AQ14" s="10">
        <f t="shared" si="8"/>
        <v>1630</v>
      </c>
      <c r="AR14" s="10">
        <v>1619.998</v>
      </c>
      <c r="AS14" s="10">
        <v>1472</v>
      </c>
      <c r="AT14" s="62">
        <v>1466.9780000000001</v>
      </c>
      <c r="AU14" s="62">
        <f t="shared" si="9"/>
        <v>1998</v>
      </c>
      <c r="AW14" s="10">
        <v>1562</v>
      </c>
      <c r="AX14" s="10">
        <v>1598</v>
      </c>
      <c r="AY14" s="62">
        <v>1573.2149999999999</v>
      </c>
      <c r="AZ14" s="10">
        <f t="shared" si="10"/>
        <v>1858</v>
      </c>
      <c r="BA14" s="10">
        <v>1960.761</v>
      </c>
      <c r="BB14" s="62">
        <v>1763</v>
      </c>
      <c r="BC14" s="62">
        <v>1812</v>
      </c>
      <c r="BD14" s="62">
        <f t="shared" si="11"/>
        <v>2415</v>
      </c>
    </row>
    <row r="15" spans="2:56">
      <c r="B15" s="20" t="s">
        <v>56</v>
      </c>
      <c r="C15" s="11"/>
      <c r="D15" s="58">
        <v>222.541</v>
      </c>
      <c r="E15" s="58">
        <v>259.90699999999998</v>
      </c>
      <c r="F15" s="58">
        <v>5520.8789999999999</v>
      </c>
      <c r="G15" s="58">
        <v>6110</v>
      </c>
      <c r="H15" s="58">
        <v>1323</v>
      </c>
      <c r="I15" s="58">
        <v>241</v>
      </c>
      <c r="J15" s="58">
        <v>227</v>
      </c>
      <c r="K15" s="58">
        <v>241</v>
      </c>
      <c r="L15" s="54"/>
      <c r="M15" s="58">
        <v>133</v>
      </c>
      <c r="N15" s="58">
        <v>138</v>
      </c>
      <c r="O15" s="71"/>
      <c r="P15" s="58">
        <v>141.80600000000001</v>
      </c>
      <c r="Q15" s="58">
        <v>168.73599999999999</v>
      </c>
      <c r="R15" s="58">
        <v>247.77500000000001</v>
      </c>
      <c r="S15" s="58">
        <f>D15</f>
        <v>222.541</v>
      </c>
      <c r="T15" s="58">
        <v>226.80700000000002</v>
      </c>
      <c r="U15" s="58">
        <v>224.18199999999999</v>
      </c>
      <c r="V15" s="58">
        <v>248.38400000000001</v>
      </c>
      <c r="W15" s="58">
        <f>E15</f>
        <v>259.90699999999998</v>
      </c>
      <c r="X15" s="58">
        <v>279.38299999999998</v>
      </c>
      <c r="Y15" s="58">
        <v>326.96500000000003</v>
      </c>
      <c r="Z15" s="58">
        <v>312.28999999999996</v>
      </c>
      <c r="AA15" s="58">
        <f t="shared" si="6"/>
        <v>5520.8789999999999</v>
      </c>
      <c r="AB15" s="58">
        <v>5527.2130000000006</v>
      </c>
      <c r="AC15" s="58">
        <v>5829.2640000000001</v>
      </c>
      <c r="AD15" s="58">
        <v>6036.8919999999998</v>
      </c>
      <c r="AE15" s="58">
        <f>G15</f>
        <v>6110</v>
      </c>
      <c r="AF15" s="11">
        <v>1319.279</v>
      </c>
      <c r="AG15" s="11">
        <f>271+1024+56</f>
        <v>1351</v>
      </c>
      <c r="AH15" s="11">
        <f>260+1049</f>
        <v>1309</v>
      </c>
      <c r="AI15" s="11">
        <f>H15</f>
        <v>1323</v>
      </c>
      <c r="AJ15" s="11">
        <v>260.57100000000003</v>
      </c>
      <c r="AK15" s="11">
        <v>258</v>
      </c>
      <c r="AL15" s="11">
        <v>274.83999999999997</v>
      </c>
      <c r="AM15" s="11">
        <f t="shared" si="7"/>
        <v>241</v>
      </c>
      <c r="AN15" s="11">
        <v>219.149</v>
      </c>
      <c r="AO15" s="11">
        <v>223.661</v>
      </c>
      <c r="AP15" s="58">
        <v>230.679</v>
      </c>
      <c r="AQ15" s="11">
        <f t="shared" si="8"/>
        <v>227</v>
      </c>
      <c r="AR15" s="11">
        <v>229.625</v>
      </c>
      <c r="AS15" s="11">
        <v>226.81800000000001</v>
      </c>
      <c r="AT15" s="58">
        <v>219.90299999999999</v>
      </c>
      <c r="AU15" s="58">
        <f t="shared" si="9"/>
        <v>241</v>
      </c>
      <c r="AW15" s="11">
        <v>219</v>
      </c>
      <c r="AX15" s="11">
        <v>159</v>
      </c>
      <c r="AY15" s="58">
        <v>132.03100000000001</v>
      </c>
      <c r="AZ15" s="11">
        <f t="shared" si="10"/>
        <v>133</v>
      </c>
      <c r="BA15" s="11">
        <v>132.643</v>
      </c>
      <c r="BB15" s="58">
        <v>128</v>
      </c>
      <c r="BC15" s="58">
        <v>118</v>
      </c>
      <c r="BD15" s="58">
        <f t="shared" si="11"/>
        <v>138</v>
      </c>
    </row>
    <row r="16" spans="2:56">
      <c r="B16" s="18" t="s">
        <v>58</v>
      </c>
      <c r="C16" s="8"/>
      <c r="D16" s="8">
        <f t="shared" ref="D16:K16" si="12">SUM(D11:D15)</f>
        <v>2963.779</v>
      </c>
      <c r="E16" s="63">
        <f t="shared" si="12"/>
        <v>3193.7799999999997</v>
      </c>
      <c r="F16" s="63">
        <f t="shared" si="12"/>
        <v>9634.4759999999987</v>
      </c>
      <c r="G16" s="63">
        <f t="shared" si="12"/>
        <v>15352</v>
      </c>
      <c r="H16" s="63">
        <f t="shared" si="12"/>
        <v>11275</v>
      </c>
      <c r="I16" s="63">
        <f t="shared" si="12"/>
        <v>10682</v>
      </c>
      <c r="J16" s="63">
        <f t="shared" si="12"/>
        <v>12338</v>
      </c>
      <c r="K16" s="63">
        <f t="shared" si="12"/>
        <v>13458</v>
      </c>
      <c r="L16" s="54"/>
      <c r="M16" s="63">
        <v>42078</v>
      </c>
      <c r="N16" s="63">
        <f t="shared" ref="N16" si="13">SUM(N11:N15)</f>
        <v>46760</v>
      </c>
      <c r="O16" s="71"/>
      <c r="P16" s="8">
        <f t="shared" ref="P16:AE16" si="14">SUM(P11:P15)</f>
        <v>2639.462</v>
      </c>
      <c r="Q16" s="63">
        <f t="shared" si="14"/>
        <v>2708.9459999999999</v>
      </c>
      <c r="R16" s="63">
        <f t="shared" si="14"/>
        <v>3250.6779999999999</v>
      </c>
      <c r="S16" s="63">
        <f t="shared" si="14"/>
        <v>2963.779</v>
      </c>
      <c r="T16" s="63">
        <f t="shared" si="14"/>
        <v>2877.6790000000001</v>
      </c>
      <c r="U16" s="63">
        <f t="shared" si="14"/>
        <v>2871.0379999999996</v>
      </c>
      <c r="V16" s="63">
        <f t="shared" si="14"/>
        <v>2917.6040000000003</v>
      </c>
      <c r="W16" s="63">
        <f t="shared" si="14"/>
        <v>3193.7799999999997</v>
      </c>
      <c r="X16" s="63">
        <f t="shared" si="14"/>
        <v>3268.2370000000001</v>
      </c>
      <c r="Y16" s="63">
        <f t="shared" si="14"/>
        <v>3580.3509999999997</v>
      </c>
      <c r="Z16" s="63">
        <f t="shared" si="14"/>
        <v>3981.1310000000003</v>
      </c>
      <c r="AA16" s="63">
        <f t="shared" si="14"/>
        <v>9634.4759999999987</v>
      </c>
      <c r="AB16" s="63">
        <f t="shared" si="14"/>
        <v>10591.366000000002</v>
      </c>
      <c r="AC16" s="63">
        <f t="shared" si="14"/>
        <v>11680.117</v>
      </c>
      <c r="AD16" s="63">
        <f t="shared" si="14"/>
        <v>13767.968000000001</v>
      </c>
      <c r="AE16" s="63">
        <f t="shared" si="14"/>
        <v>15352</v>
      </c>
      <c r="AF16" s="8">
        <f t="shared" ref="AF16:AT16" si="15">SUM(AF11:AF15)</f>
        <v>10567.671</v>
      </c>
      <c r="AG16" s="8">
        <f t="shared" si="15"/>
        <v>10519</v>
      </c>
      <c r="AH16" s="8">
        <f t="shared" si="15"/>
        <v>10457</v>
      </c>
      <c r="AI16" s="8">
        <f t="shared" si="15"/>
        <v>11275</v>
      </c>
      <c r="AJ16" s="8">
        <f t="shared" si="15"/>
        <v>10028.195</v>
      </c>
      <c r="AK16" s="8">
        <f t="shared" si="15"/>
        <v>9945</v>
      </c>
      <c r="AL16" s="8">
        <f t="shared" si="15"/>
        <v>10039.999</v>
      </c>
      <c r="AM16" s="8">
        <f t="shared" si="15"/>
        <v>10682</v>
      </c>
      <c r="AN16" s="8">
        <f t="shared" si="15"/>
        <v>10367.376999999999</v>
      </c>
      <c r="AO16" s="8">
        <f t="shared" si="15"/>
        <v>10076.499</v>
      </c>
      <c r="AP16" s="63">
        <f t="shared" si="15"/>
        <v>9987.6080000000002</v>
      </c>
      <c r="AQ16" s="8">
        <f t="shared" si="15"/>
        <v>12338</v>
      </c>
      <c r="AR16" s="8">
        <f t="shared" si="15"/>
        <v>13223.554</v>
      </c>
      <c r="AS16" s="8">
        <f t="shared" si="15"/>
        <v>12884.208999999999</v>
      </c>
      <c r="AT16" s="63">
        <f t="shared" si="15"/>
        <v>12688.880999999999</v>
      </c>
      <c r="AU16" s="63">
        <f t="shared" si="9"/>
        <v>13458</v>
      </c>
      <c r="AW16" s="8">
        <f t="shared" ref="AW16" si="16">SUM(AW11:AW15)</f>
        <v>40860.237000000001</v>
      </c>
      <c r="AX16" s="8">
        <f t="shared" ref="AX16:BC16" si="17">SUM(AX11:AX15)</f>
        <v>42310</v>
      </c>
      <c r="AY16" s="63">
        <f t="shared" si="17"/>
        <v>39794.614999999998</v>
      </c>
      <c r="AZ16" s="8">
        <f t="shared" si="17"/>
        <v>42078</v>
      </c>
      <c r="BA16" s="8">
        <f t="shared" si="17"/>
        <v>45417.092999999993</v>
      </c>
      <c r="BB16" s="63">
        <f t="shared" si="17"/>
        <v>43426.421000000002</v>
      </c>
      <c r="BC16" s="63">
        <f t="shared" si="17"/>
        <v>43190</v>
      </c>
      <c r="BD16" s="63">
        <f t="shared" si="11"/>
        <v>46760</v>
      </c>
    </row>
    <row r="17" spans="2:56">
      <c r="B17" s="22"/>
      <c r="C17" s="10"/>
      <c r="D17" s="62"/>
      <c r="E17" s="62"/>
      <c r="F17" s="62"/>
      <c r="G17" s="62"/>
      <c r="H17" s="62"/>
      <c r="I17" s="62"/>
      <c r="J17" s="62"/>
      <c r="K17" s="62"/>
      <c r="L17" s="54"/>
      <c r="M17" s="62"/>
      <c r="N17" s="62"/>
      <c r="O17" s="7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62"/>
      <c r="AQ17" s="10"/>
      <c r="AR17" s="10"/>
      <c r="AS17" s="10"/>
      <c r="AT17" s="62"/>
      <c r="AU17" s="62"/>
      <c r="AW17" s="10"/>
      <c r="AX17" s="10"/>
      <c r="AY17" s="62"/>
      <c r="AZ17" s="10"/>
      <c r="BA17" s="10"/>
      <c r="BB17" s="62"/>
      <c r="BC17" s="62"/>
      <c r="BD17" s="62"/>
    </row>
    <row r="18" spans="2:56">
      <c r="B18" s="22"/>
      <c r="C18" s="10"/>
      <c r="D18" s="62"/>
      <c r="E18" s="62"/>
      <c r="F18" s="62"/>
      <c r="G18" s="62"/>
      <c r="H18" s="62"/>
      <c r="I18" s="62"/>
      <c r="J18" s="62"/>
      <c r="K18" s="62"/>
      <c r="L18" s="54"/>
      <c r="M18" s="62"/>
      <c r="N18" s="62"/>
      <c r="O18" s="7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62"/>
      <c r="AQ18" s="10"/>
      <c r="AR18" s="10"/>
      <c r="AS18" s="10"/>
      <c r="AT18" s="62"/>
      <c r="AU18" s="62"/>
      <c r="AW18" s="10"/>
      <c r="AX18" s="10"/>
      <c r="AY18" s="62"/>
      <c r="AZ18" s="10"/>
      <c r="BA18" s="10"/>
      <c r="BB18" s="62"/>
      <c r="BC18" s="62"/>
      <c r="BD18" s="62"/>
    </row>
    <row r="19" spans="2:56">
      <c r="B19" s="23" t="s">
        <v>57</v>
      </c>
      <c r="C19" s="10"/>
      <c r="D19" s="62">
        <v>428.916</v>
      </c>
      <c r="E19" s="62">
        <v>510</v>
      </c>
      <c r="F19" s="62">
        <v>700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54"/>
      <c r="M19" s="62"/>
      <c r="N19" s="62"/>
      <c r="O19" s="71"/>
      <c r="P19" s="62">
        <v>300.62</v>
      </c>
      <c r="Q19" s="62">
        <v>354.93299999999999</v>
      </c>
      <c r="R19" s="62">
        <v>354.10599999999999</v>
      </c>
      <c r="S19" s="62">
        <f t="shared" ref="S19:S24" si="18">D19</f>
        <v>428.916</v>
      </c>
      <c r="T19" s="62">
        <v>525.221</v>
      </c>
      <c r="U19" s="62">
        <v>500.09199999999998</v>
      </c>
      <c r="V19" s="62">
        <v>483.81599999999997</v>
      </c>
      <c r="W19" s="62">
        <f t="shared" ref="W19:W20" si="19">E19</f>
        <v>510</v>
      </c>
      <c r="X19" s="62">
        <v>503.76499999999999</v>
      </c>
      <c r="Y19" s="62">
        <v>551.99099999999999</v>
      </c>
      <c r="Z19" s="62">
        <v>548.23199999999997</v>
      </c>
      <c r="AA19" s="62">
        <f t="shared" ref="AA19:AA24" si="20">F19</f>
        <v>700</v>
      </c>
      <c r="AB19" s="62">
        <v>653.47299999999996</v>
      </c>
      <c r="AC19" s="62">
        <v>886.69</v>
      </c>
      <c r="AD19" s="62">
        <v>929.85</v>
      </c>
      <c r="AE19" s="62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62"/>
      <c r="AQ19" s="10"/>
      <c r="AR19" s="10"/>
      <c r="AS19" s="10"/>
      <c r="AT19" s="62"/>
      <c r="AU19" s="62"/>
      <c r="AW19" s="10"/>
      <c r="AX19" s="10"/>
      <c r="AY19" s="62"/>
      <c r="AZ19" s="10"/>
      <c r="BA19" s="10"/>
      <c r="BB19" s="62"/>
      <c r="BC19" s="62"/>
      <c r="BD19" s="62"/>
    </row>
    <row r="20" spans="2:56">
      <c r="B20" s="19" t="s">
        <v>54</v>
      </c>
      <c r="C20" s="10"/>
      <c r="D20" s="62">
        <v>6838.7430000000004</v>
      </c>
      <c r="E20" s="62">
        <v>8635.73</v>
      </c>
      <c r="F20" s="62">
        <v>11124.205</v>
      </c>
      <c r="G20" s="62">
        <v>17346</v>
      </c>
      <c r="H20" s="62">
        <v>24796</v>
      </c>
      <c r="I20" s="62">
        <v>26440</v>
      </c>
      <c r="J20" s="62">
        <v>35063</v>
      </c>
      <c r="K20" s="62">
        <v>38636</v>
      </c>
      <c r="L20" s="54"/>
      <c r="M20" s="62">
        <v>35063</v>
      </c>
      <c r="N20" s="62">
        <v>38636</v>
      </c>
      <c r="O20" s="71"/>
      <c r="P20" s="62">
        <v>5369.2430000000004</v>
      </c>
      <c r="Q20" s="62">
        <v>5943.7290000000003</v>
      </c>
      <c r="R20" s="62">
        <v>6574.518</v>
      </c>
      <c r="S20" s="62">
        <f t="shared" si="18"/>
        <v>6838.7430000000004</v>
      </c>
      <c r="T20" s="62">
        <v>6599.0450000000001</v>
      </c>
      <c r="U20" s="62">
        <v>7817.7240000000002</v>
      </c>
      <c r="V20" s="62">
        <v>8020.5159999999996</v>
      </c>
      <c r="W20" s="62">
        <f t="shared" si="19"/>
        <v>8635.73</v>
      </c>
      <c r="X20" s="62">
        <v>7739.46</v>
      </c>
      <c r="Y20" s="62">
        <v>8480.393</v>
      </c>
      <c r="Z20" s="62">
        <v>9346.2180000000008</v>
      </c>
      <c r="AA20" s="62">
        <f t="shared" si="20"/>
        <v>11124.205</v>
      </c>
      <c r="AB20" s="62">
        <v>11956.053</v>
      </c>
      <c r="AC20" s="62">
        <v>13049.554</v>
      </c>
      <c r="AD20" s="62">
        <v>14094.897000000001</v>
      </c>
      <c r="AE20" s="62">
        <f>G20</f>
        <v>17346</v>
      </c>
      <c r="AF20" s="10">
        <v>16550</v>
      </c>
      <c r="AG20" s="10">
        <v>18837</v>
      </c>
      <c r="AH20" s="10">
        <v>20744</v>
      </c>
      <c r="AI20" s="10">
        <f t="shared" ref="AI20:AI24" si="21">H20</f>
        <v>24796</v>
      </c>
      <c r="AJ20" s="10">
        <v>21715.814999999999</v>
      </c>
      <c r="AK20" s="10">
        <v>24413</v>
      </c>
      <c r="AL20" s="10">
        <v>24472.758999999998</v>
      </c>
      <c r="AM20" s="10">
        <f t="shared" ref="AM20" si="22">I20</f>
        <v>26440</v>
      </c>
      <c r="AN20" s="10">
        <v>23914.333999999999</v>
      </c>
      <c r="AO20" s="10">
        <v>29944.116999999998</v>
      </c>
      <c r="AP20" s="62">
        <v>31195.93</v>
      </c>
      <c r="AQ20" s="10">
        <f>J20</f>
        <v>35063</v>
      </c>
      <c r="AR20" s="10">
        <v>32148.007000000001</v>
      </c>
      <c r="AS20" s="10">
        <v>37307.093000000001</v>
      </c>
      <c r="AT20" s="62">
        <v>35233</v>
      </c>
      <c r="AU20" s="62">
        <f t="shared" ref="AU20:AU25" si="23">K20</f>
        <v>38636</v>
      </c>
      <c r="AW20" s="10">
        <v>23914.333999999999</v>
      </c>
      <c r="AX20" s="10">
        <v>29944</v>
      </c>
      <c r="AY20" s="62">
        <v>31195.93</v>
      </c>
      <c r="AZ20" s="10">
        <f t="shared" ref="AZ20:AZ24" si="24">M20</f>
        <v>35063</v>
      </c>
      <c r="BA20" s="10">
        <v>32148.007000000001</v>
      </c>
      <c r="BB20" s="62">
        <v>37307.093000000001</v>
      </c>
      <c r="BC20" s="62">
        <v>35233</v>
      </c>
      <c r="BD20" s="62">
        <f t="shared" ref="BD20:BD25" si="25">N20</f>
        <v>38636</v>
      </c>
    </row>
    <row r="21" spans="2:56">
      <c r="B21" s="23" t="s">
        <v>53</v>
      </c>
      <c r="C21" s="10"/>
      <c r="D21" s="62">
        <v>97.102999999999994</v>
      </c>
      <c r="E21" s="62">
        <f>415.828</f>
        <v>415.82799999999997</v>
      </c>
      <c r="F21" s="62">
        <f>459.885</f>
        <v>459.88499999999999</v>
      </c>
      <c r="G21" s="62">
        <v>2710</v>
      </c>
      <c r="H21" s="62">
        <v>3855</v>
      </c>
      <c r="I21" s="62">
        <v>2244</v>
      </c>
      <c r="J21" s="62">
        <v>4473</v>
      </c>
      <c r="K21" s="62">
        <v>4048</v>
      </c>
      <c r="L21" s="54"/>
      <c r="M21" s="62">
        <v>4473</v>
      </c>
      <c r="N21" s="62">
        <v>4048</v>
      </c>
      <c r="O21" s="71"/>
      <c r="P21" s="62">
        <v>100.586</v>
      </c>
      <c r="Q21" s="62">
        <v>29.192</v>
      </c>
      <c r="R21" s="62">
        <v>30.698</v>
      </c>
      <c r="S21" s="62">
        <f t="shared" si="18"/>
        <v>97.102999999999994</v>
      </c>
      <c r="T21" s="62">
        <v>62.994</v>
      </c>
      <c r="U21" s="62">
        <v>61.805</v>
      </c>
      <c r="V21" s="62">
        <v>109.497</v>
      </c>
      <c r="W21" s="62">
        <f t="shared" ref="W21:W24" si="26">E21</f>
        <v>415.82799999999997</v>
      </c>
      <c r="X21" s="62">
        <v>460.108</v>
      </c>
      <c r="Y21" s="62">
        <v>384.65300000000002</v>
      </c>
      <c r="Z21" s="62">
        <v>841.04700000000003</v>
      </c>
      <c r="AA21" s="62">
        <f t="shared" si="20"/>
        <v>459.88499999999999</v>
      </c>
      <c r="AB21" s="62">
        <v>333.93400000000003</v>
      </c>
      <c r="AC21" s="62">
        <v>843.03599999999994</v>
      </c>
      <c r="AD21" s="62">
        <v>2533.1750000000002</v>
      </c>
      <c r="AE21" s="62">
        <f>G21</f>
        <v>2710</v>
      </c>
      <c r="AF21" s="10">
        <v>1890</v>
      </c>
      <c r="AG21" s="10">
        <v>1843</v>
      </c>
      <c r="AH21" s="10">
        <v>2661</v>
      </c>
      <c r="AI21" s="10">
        <f t="shared" si="21"/>
        <v>3855</v>
      </c>
      <c r="AJ21" s="10">
        <v>2117.5790000000002</v>
      </c>
      <c r="AK21" s="10">
        <v>1944</v>
      </c>
      <c r="AL21" s="10">
        <v>2801.9859999999999</v>
      </c>
      <c r="AM21" s="10">
        <f t="shared" ref="AM21:AM24" si="27">I21</f>
        <v>2244</v>
      </c>
      <c r="AN21" s="10">
        <v>2407.335</v>
      </c>
      <c r="AO21" s="10">
        <v>2429.221</v>
      </c>
      <c r="AP21" s="62">
        <v>2108.8470000000002</v>
      </c>
      <c r="AQ21" s="10">
        <f t="shared" ref="AQ21:AQ24" si="28">J21</f>
        <v>4473</v>
      </c>
      <c r="AR21" s="10">
        <v>2818.9290000000001</v>
      </c>
      <c r="AS21" s="10">
        <v>3281.2339999999999</v>
      </c>
      <c r="AT21" s="62">
        <v>3729</v>
      </c>
      <c r="AU21" s="62">
        <f t="shared" si="23"/>
        <v>4048</v>
      </c>
      <c r="AW21" s="10">
        <v>2407.335</v>
      </c>
      <c r="AX21" s="10">
        <v>2429</v>
      </c>
      <c r="AY21" s="62">
        <v>2108.8470000000002</v>
      </c>
      <c r="AZ21" s="10">
        <f t="shared" si="24"/>
        <v>4473</v>
      </c>
      <c r="BA21" s="10">
        <v>2818.9290000000001</v>
      </c>
      <c r="BB21" s="62">
        <v>3281.2339999999999</v>
      </c>
      <c r="BC21" s="62">
        <v>3729</v>
      </c>
      <c r="BD21" s="62">
        <f t="shared" si="25"/>
        <v>4048</v>
      </c>
    </row>
    <row r="22" spans="2:56">
      <c r="B22" s="23" t="s">
        <v>83</v>
      </c>
      <c r="C22" s="10"/>
      <c r="D22" s="62">
        <f>1245.586-D19</f>
        <v>816.67000000000007</v>
      </c>
      <c r="E22" s="62">
        <v>768.14300000000003</v>
      </c>
      <c r="F22" s="62">
        <v>2355.857</v>
      </c>
      <c r="G22" s="62">
        <v>1850</v>
      </c>
      <c r="H22" s="62">
        <v>2351</v>
      </c>
      <c r="I22" s="62">
        <v>1215</v>
      </c>
      <c r="J22" s="62">
        <v>2328</v>
      </c>
      <c r="K22" s="62">
        <v>1756</v>
      </c>
      <c r="L22" s="54"/>
      <c r="M22" s="62">
        <v>2038</v>
      </c>
      <c r="N22" s="62">
        <v>1435</v>
      </c>
      <c r="O22" s="71"/>
      <c r="P22" s="62">
        <f>1043.327-P19</f>
        <v>742.70699999999999</v>
      </c>
      <c r="Q22" s="62">
        <f>1126.506-Q19</f>
        <v>771.57300000000009</v>
      </c>
      <c r="R22" s="62">
        <f>1404.808-R19</f>
        <v>1050.702</v>
      </c>
      <c r="S22" s="62">
        <f t="shared" si="18"/>
        <v>816.67000000000007</v>
      </c>
      <c r="T22" s="62">
        <f>1492.234-T19</f>
        <v>967.01299999999992</v>
      </c>
      <c r="U22" s="62">
        <f>1432.011-U19</f>
        <v>931.91899999999998</v>
      </c>
      <c r="V22" s="62">
        <f>1343.823-V19</f>
        <v>860.00700000000006</v>
      </c>
      <c r="W22" s="62">
        <f t="shared" si="26"/>
        <v>768.14300000000003</v>
      </c>
      <c r="X22" s="62">
        <f>1549.825-X19</f>
        <v>1046.06</v>
      </c>
      <c r="Y22" s="62">
        <f>1627.361-Y19</f>
        <v>1075.3700000000001</v>
      </c>
      <c r="Z22" s="62">
        <f>1621.361-Z19</f>
        <v>1073.1290000000001</v>
      </c>
      <c r="AA22" s="62">
        <f t="shared" si="20"/>
        <v>2355.857</v>
      </c>
      <c r="AB22" s="62">
        <f>6141.831-AB19</f>
        <v>5488.3580000000002</v>
      </c>
      <c r="AC22" s="62">
        <f>3592.563-AC19</f>
        <v>2705.873</v>
      </c>
      <c r="AD22" s="62">
        <f>4968.222-AD19</f>
        <v>4038.3719999999998</v>
      </c>
      <c r="AE22" s="62">
        <f>G22</f>
        <v>1850</v>
      </c>
      <c r="AF22" s="10">
        <v>1403</v>
      </c>
      <c r="AG22" s="10">
        <v>1910</v>
      </c>
      <c r="AH22" s="10">
        <v>2148</v>
      </c>
      <c r="AI22" s="10">
        <f t="shared" si="21"/>
        <v>2351</v>
      </c>
      <c r="AJ22" s="10">
        <v>2257.0070000000001</v>
      </c>
      <c r="AK22" s="10">
        <v>2170</v>
      </c>
      <c r="AL22" s="10">
        <v>2359.7049999999999</v>
      </c>
      <c r="AM22" s="10">
        <f t="shared" si="27"/>
        <v>1215</v>
      </c>
      <c r="AN22" s="10">
        <v>2868.8040000000001</v>
      </c>
      <c r="AO22" s="62">
        <f>3268-AO23</f>
        <v>3261</v>
      </c>
      <c r="AP22" s="62">
        <f>1604.554+236.739</f>
        <v>1841.2930000000001</v>
      </c>
      <c r="AQ22" s="10">
        <f t="shared" si="28"/>
        <v>2328</v>
      </c>
      <c r="AR22" s="10">
        <v>2480.7060000000001</v>
      </c>
      <c r="AS22" s="10">
        <v>1566</v>
      </c>
      <c r="AT22" s="62">
        <f>1421.417-AT23</f>
        <v>1360.6176732089921</v>
      </c>
      <c r="AU22" s="62">
        <f t="shared" si="23"/>
        <v>1756</v>
      </c>
      <c r="AW22" s="10">
        <v>2869</v>
      </c>
      <c r="AX22" s="10">
        <v>1718</v>
      </c>
      <c r="AY22" s="62">
        <v>1518.4970000000001</v>
      </c>
      <c r="AZ22" s="10">
        <f t="shared" si="24"/>
        <v>2038</v>
      </c>
      <c r="BA22" s="10">
        <v>2076.2570000000001</v>
      </c>
      <c r="BB22" s="62">
        <v>1085</v>
      </c>
      <c r="BC22" s="62">
        <v>1006.2006732089922</v>
      </c>
      <c r="BD22" s="62">
        <f t="shared" si="25"/>
        <v>1435</v>
      </c>
    </row>
    <row r="23" spans="2:56">
      <c r="B23" s="23" t="s">
        <v>84</v>
      </c>
      <c r="C23" s="10"/>
      <c r="D23" s="62">
        <v>0</v>
      </c>
      <c r="E23" s="62">
        <v>0</v>
      </c>
      <c r="F23" s="62">
        <v>0</v>
      </c>
      <c r="G23" s="62">
        <v>2</v>
      </c>
      <c r="H23" s="62">
        <v>7</v>
      </c>
      <c r="I23" s="62">
        <v>7</v>
      </c>
      <c r="J23" s="62">
        <v>1</v>
      </c>
      <c r="K23" s="62">
        <v>13</v>
      </c>
      <c r="L23" s="54"/>
      <c r="M23" s="62">
        <v>1</v>
      </c>
      <c r="N23" s="62">
        <v>13</v>
      </c>
      <c r="O23" s="71"/>
      <c r="P23" s="62"/>
      <c r="Q23" s="62"/>
      <c r="R23" s="62">
        <v>0</v>
      </c>
      <c r="S23" s="62">
        <f t="shared" si="18"/>
        <v>0</v>
      </c>
      <c r="T23" s="62">
        <v>0</v>
      </c>
      <c r="U23" s="62"/>
      <c r="V23" s="62">
        <v>0</v>
      </c>
      <c r="W23" s="62">
        <f t="shared" si="26"/>
        <v>0</v>
      </c>
      <c r="X23" s="62">
        <v>0</v>
      </c>
      <c r="Y23" s="62">
        <v>0</v>
      </c>
      <c r="Z23" s="62">
        <v>0</v>
      </c>
      <c r="AA23" s="62">
        <f t="shared" si="20"/>
        <v>0</v>
      </c>
      <c r="AB23" s="62">
        <v>0</v>
      </c>
      <c r="AC23" s="62">
        <v>0</v>
      </c>
      <c r="AD23" s="62">
        <v>0</v>
      </c>
      <c r="AE23" s="62">
        <f>G23</f>
        <v>2</v>
      </c>
      <c r="AF23" s="62"/>
      <c r="AG23" s="10">
        <v>3</v>
      </c>
      <c r="AH23" s="62">
        <v>3</v>
      </c>
      <c r="AI23" s="10">
        <f t="shared" si="21"/>
        <v>7</v>
      </c>
      <c r="AJ23" s="10">
        <v>0</v>
      </c>
      <c r="AK23" s="10">
        <v>9</v>
      </c>
      <c r="AL23" s="10">
        <v>0</v>
      </c>
      <c r="AM23" s="10">
        <f t="shared" si="27"/>
        <v>7</v>
      </c>
      <c r="AN23" s="10">
        <v>0</v>
      </c>
      <c r="AO23" s="62">
        <f>AX23</f>
        <v>7</v>
      </c>
      <c r="AP23" s="62">
        <v>0</v>
      </c>
      <c r="AQ23" s="10">
        <f t="shared" si="28"/>
        <v>1</v>
      </c>
      <c r="AR23" s="10">
        <v>0</v>
      </c>
      <c r="AS23" s="10">
        <v>328</v>
      </c>
      <c r="AT23" s="62">
        <v>60.799326791007815</v>
      </c>
      <c r="AU23" s="62">
        <f t="shared" si="23"/>
        <v>13</v>
      </c>
      <c r="AW23" s="10">
        <v>0</v>
      </c>
      <c r="AX23" s="10">
        <v>7</v>
      </c>
      <c r="AY23" s="62">
        <v>0</v>
      </c>
      <c r="AZ23" s="10">
        <f t="shared" si="24"/>
        <v>1</v>
      </c>
      <c r="BA23" s="10">
        <v>0</v>
      </c>
      <c r="BB23" s="62">
        <v>328</v>
      </c>
      <c r="BC23" s="62">
        <v>60.799326791007815</v>
      </c>
      <c r="BD23" s="62">
        <f t="shared" si="25"/>
        <v>13</v>
      </c>
    </row>
    <row r="24" spans="2:56">
      <c r="B24" s="20" t="s">
        <v>52</v>
      </c>
      <c r="C24" s="11"/>
      <c r="D24" s="58">
        <v>1631.2909999999999</v>
      </c>
      <c r="E24" s="58">
        <v>859.90200000000004</v>
      </c>
      <c r="F24" s="58">
        <v>1670.0350000000001</v>
      </c>
      <c r="G24" s="58">
        <v>1934</v>
      </c>
      <c r="H24" s="58">
        <v>2445</v>
      </c>
      <c r="I24" s="58">
        <v>3155</v>
      </c>
      <c r="J24" s="58">
        <v>3335</v>
      </c>
      <c r="K24" s="58">
        <v>1769</v>
      </c>
      <c r="L24" s="54"/>
      <c r="M24" s="58">
        <v>3335</v>
      </c>
      <c r="N24" s="58">
        <v>1769</v>
      </c>
      <c r="O24" s="71"/>
      <c r="P24" s="58">
        <v>822.154</v>
      </c>
      <c r="Q24" s="58">
        <v>645.21199999999999</v>
      </c>
      <c r="R24" s="58">
        <v>1258.047</v>
      </c>
      <c r="S24" s="58">
        <f t="shared" si="18"/>
        <v>1631.2909999999999</v>
      </c>
      <c r="T24" s="58">
        <v>583.40700000000004</v>
      </c>
      <c r="U24" s="58">
        <v>485.84300000000002</v>
      </c>
      <c r="V24" s="58">
        <v>584.66999999999996</v>
      </c>
      <c r="W24" s="58">
        <f t="shared" si="26"/>
        <v>859.90200000000004</v>
      </c>
      <c r="X24" s="58">
        <v>2031.46</v>
      </c>
      <c r="Y24" s="58">
        <v>847.53200000000004</v>
      </c>
      <c r="Z24" s="58">
        <v>665.51700000000005</v>
      </c>
      <c r="AA24" s="58">
        <f t="shared" si="20"/>
        <v>1670.0350000000001</v>
      </c>
      <c r="AB24" s="58">
        <v>534.49300000000005</v>
      </c>
      <c r="AC24" s="58">
        <v>533.04200000000003</v>
      </c>
      <c r="AD24" s="58">
        <v>1813.152</v>
      </c>
      <c r="AE24" s="58">
        <f>G24</f>
        <v>1934</v>
      </c>
      <c r="AF24" s="11">
        <v>950</v>
      </c>
      <c r="AG24" s="11">
        <v>612</v>
      </c>
      <c r="AH24" s="11">
        <v>455</v>
      </c>
      <c r="AI24" s="11">
        <f t="shared" si="21"/>
        <v>2445</v>
      </c>
      <c r="AJ24" s="11">
        <v>524.03099999999995</v>
      </c>
      <c r="AK24" s="11">
        <v>545</v>
      </c>
      <c r="AL24" s="11">
        <v>1244.384</v>
      </c>
      <c r="AM24" s="11">
        <f t="shared" si="27"/>
        <v>3155</v>
      </c>
      <c r="AN24" s="11">
        <v>964.88099999999997</v>
      </c>
      <c r="AO24" s="11">
        <v>784.96199999999999</v>
      </c>
      <c r="AP24" s="58">
        <v>1478.9860000000001</v>
      </c>
      <c r="AQ24" s="11">
        <f t="shared" si="28"/>
        <v>3335</v>
      </c>
      <c r="AR24" s="11">
        <v>1339.171</v>
      </c>
      <c r="AS24" s="11">
        <v>1317.7439999999999</v>
      </c>
      <c r="AT24" s="58">
        <v>717</v>
      </c>
      <c r="AU24" s="58">
        <f t="shared" si="23"/>
        <v>1769</v>
      </c>
      <c r="AW24" s="11">
        <v>964.88099999999997</v>
      </c>
      <c r="AX24" s="11">
        <v>785</v>
      </c>
      <c r="AY24" s="58">
        <v>1478.9860000000001</v>
      </c>
      <c r="AZ24" s="11">
        <f t="shared" si="24"/>
        <v>3335</v>
      </c>
      <c r="BA24" s="11">
        <v>1339.171</v>
      </c>
      <c r="BB24" s="58">
        <v>1317.7439999999999</v>
      </c>
      <c r="BC24" s="58">
        <v>717</v>
      </c>
      <c r="BD24" s="58">
        <f t="shared" si="25"/>
        <v>1769</v>
      </c>
    </row>
    <row r="25" spans="2:56">
      <c r="B25" s="18" t="s">
        <v>55</v>
      </c>
      <c r="C25" s="8"/>
      <c r="D25" s="8">
        <f t="shared" ref="D25:K25" si="29">SUM(D19:D24)</f>
        <v>9812.723</v>
      </c>
      <c r="E25" s="63">
        <f t="shared" si="29"/>
        <v>11189.602999999999</v>
      </c>
      <c r="F25" s="63">
        <f t="shared" si="29"/>
        <v>16309.982</v>
      </c>
      <c r="G25" s="63">
        <f t="shared" si="29"/>
        <v>23842</v>
      </c>
      <c r="H25" s="63">
        <f t="shared" si="29"/>
        <v>33454</v>
      </c>
      <c r="I25" s="63">
        <f t="shared" si="29"/>
        <v>33061</v>
      </c>
      <c r="J25" s="63">
        <f t="shared" si="29"/>
        <v>45200</v>
      </c>
      <c r="K25" s="63">
        <f t="shared" si="29"/>
        <v>46222</v>
      </c>
      <c r="L25" s="54"/>
      <c r="M25" s="63">
        <f>SUM(M19:M24)</f>
        <v>44910</v>
      </c>
      <c r="N25" s="63">
        <f>SUM(N19:N24)</f>
        <v>45901</v>
      </c>
      <c r="O25" s="71"/>
      <c r="P25" s="8">
        <f t="shared" ref="P25:Q25" si="30">SUM(P19:P24)</f>
        <v>7335.3100000000013</v>
      </c>
      <c r="Q25" s="63">
        <f t="shared" si="30"/>
        <v>7744.639000000001</v>
      </c>
      <c r="R25" s="63">
        <f t="shared" ref="R25:S25" si="31">SUM(R19:R24)</f>
        <v>9268.0709999999999</v>
      </c>
      <c r="S25" s="63">
        <f t="shared" si="31"/>
        <v>9812.723</v>
      </c>
      <c r="T25" s="63">
        <f t="shared" ref="T25:U25" si="32">SUM(T19:T24)</f>
        <v>8737.6799999999985</v>
      </c>
      <c r="U25" s="63">
        <f t="shared" si="32"/>
        <v>9797.3830000000016</v>
      </c>
      <c r="V25" s="63">
        <f t="shared" ref="V25:W25" si="33">SUM(V19:V24)</f>
        <v>10058.505999999999</v>
      </c>
      <c r="W25" s="63">
        <f t="shared" si="33"/>
        <v>11189.602999999999</v>
      </c>
      <c r="X25" s="63">
        <f t="shared" ref="X25:Y25" si="34">SUM(X19:X24)</f>
        <v>11780.852999999999</v>
      </c>
      <c r="Y25" s="63">
        <f t="shared" si="34"/>
        <v>11339.939</v>
      </c>
      <c r="Z25" s="63">
        <f t="shared" ref="Z25:AE25" si="35">SUM(Z19:Z24)</f>
        <v>12474.143000000002</v>
      </c>
      <c r="AA25" s="63">
        <f t="shared" si="35"/>
        <v>16309.982</v>
      </c>
      <c r="AB25" s="63">
        <f t="shared" si="35"/>
        <v>18966.310999999998</v>
      </c>
      <c r="AC25" s="63">
        <f t="shared" si="35"/>
        <v>18018.195000000003</v>
      </c>
      <c r="AD25" s="63">
        <f t="shared" si="35"/>
        <v>23409.446000000004</v>
      </c>
      <c r="AE25" s="63">
        <f t="shared" si="35"/>
        <v>23842</v>
      </c>
      <c r="AF25" s="8">
        <f t="shared" ref="AF25:AN25" si="36">SUM(AF19:AF24)</f>
        <v>20793</v>
      </c>
      <c r="AG25" s="8">
        <f t="shared" si="36"/>
        <v>23205</v>
      </c>
      <c r="AH25" s="8">
        <f t="shared" si="36"/>
        <v>26011</v>
      </c>
      <c r="AI25" s="8">
        <f t="shared" si="36"/>
        <v>33454</v>
      </c>
      <c r="AJ25" s="8">
        <f t="shared" si="36"/>
        <v>26614.432000000001</v>
      </c>
      <c r="AK25" s="8">
        <f t="shared" si="36"/>
        <v>29081</v>
      </c>
      <c r="AL25" s="8">
        <f t="shared" si="36"/>
        <v>30878.833999999995</v>
      </c>
      <c r="AM25" s="8">
        <f t="shared" si="36"/>
        <v>33061</v>
      </c>
      <c r="AN25" s="8">
        <f t="shared" si="36"/>
        <v>30155.353999999999</v>
      </c>
      <c r="AO25" s="8">
        <f>SUM(AO19:AO24)</f>
        <v>36426.300000000003</v>
      </c>
      <c r="AP25" s="63">
        <f>SUM(AP19:AP24)</f>
        <v>36625.055999999997</v>
      </c>
      <c r="AQ25" s="8">
        <f>SUM(AQ19:AQ24)</f>
        <v>45200</v>
      </c>
      <c r="AR25" s="8">
        <f>SUM(AR19:AR24)</f>
        <v>38786.813000000002</v>
      </c>
      <c r="AS25" s="8">
        <f>SUM(AS19:AS24)</f>
        <v>43800.070999999996</v>
      </c>
      <c r="AT25" s="63">
        <f t="shared" ref="AT25" si="37">SUM(AT19:AT24)</f>
        <v>41100.417000000001</v>
      </c>
      <c r="AU25" s="63">
        <f t="shared" si="23"/>
        <v>46222</v>
      </c>
      <c r="AW25" s="8">
        <f t="shared" ref="AW25:BC25" si="38">SUM(AW19:AW24)</f>
        <v>30155.55</v>
      </c>
      <c r="AX25" s="8">
        <f t="shared" si="38"/>
        <v>34883</v>
      </c>
      <c r="AY25" s="63">
        <f t="shared" si="38"/>
        <v>36302.26</v>
      </c>
      <c r="AZ25" s="8">
        <f t="shared" si="38"/>
        <v>44910</v>
      </c>
      <c r="BA25" s="8">
        <f t="shared" si="38"/>
        <v>38382.364000000001</v>
      </c>
      <c r="BB25" s="63">
        <f t="shared" si="38"/>
        <v>43319.070999999996</v>
      </c>
      <c r="BC25" s="63">
        <f t="shared" si="38"/>
        <v>40746</v>
      </c>
      <c r="BD25" s="63">
        <f t="shared" si="25"/>
        <v>45901</v>
      </c>
    </row>
    <row r="26" spans="2:56">
      <c r="B26" s="20"/>
      <c r="C26" s="11"/>
      <c r="D26" s="58"/>
      <c r="E26" s="58"/>
      <c r="F26" s="58"/>
      <c r="G26" s="58"/>
      <c r="H26" s="58"/>
      <c r="I26" s="58"/>
      <c r="J26" s="58"/>
      <c r="K26" s="58"/>
      <c r="L26" s="54"/>
      <c r="M26" s="58"/>
      <c r="N26" s="58"/>
      <c r="O26" s="71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58"/>
      <c r="AQ26" s="11"/>
      <c r="AR26" s="11"/>
      <c r="AS26" s="11"/>
      <c r="AT26" s="58"/>
      <c r="AU26" s="58"/>
      <c r="AW26" s="11"/>
      <c r="AX26" s="11"/>
      <c r="AY26" s="58"/>
      <c r="AZ26" s="11"/>
      <c r="BA26" s="11"/>
      <c r="BB26" s="58"/>
      <c r="BC26" s="58"/>
      <c r="BD26" s="58"/>
    </row>
    <row r="27" spans="2:56">
      <c r="B27" s="18" t="s">
        <v>66</v>
      </c>
      <c r="C27" s="8"/>
      <c r="D27" s="8">
        <f t="shared" ref="D27:K27" si="39">D25+D16</f>
        <v>12776.502</v>
      </c>
      <c r="E27" s="63">
        <f t="shared" si="39"/>
        <v>14383.382999999998</v>
      </c>
      <c r="F27" s="63">
        <f t="shared" si="39"/>
        <v>25944.457999999999</v>
      </c>
      <c r="G27" s="63">
        <f t="shared" si="39"/>
        <v>39194</v>
      </c>
      <c r="H27" s="63">
        <f t="shared" si="39"/>
        <v>44729</v>
      </c>
      <c r="I27" s="63">
        <f t="shared" si="39"/>
        <v>43743</v>
      </c>
      <c r="J27" s="63">
        <f t="shared" si="39"/>
        <v>57538</v>
      </c>
      <c r="K27" s="63">
        <f t="shared" si="39"/>
        <v>59680</v>
      </c>
      <c r="L27" s="54"/>
      <c r="M27" s="63">
        <v>86988</v>
      </c>
      <c r="N27" s="63">
        <f t="shared" ref="N27" si="40">N25+N16</f>
        <v>92661</v>
      </c>
      <c r="O27" s="71"/>
      <c r="P27" s="8">
        <f>P25+P16</f>
        <v>9974.7720000000008</v>
      </c>
      <c r="Q27" s="63">
        <f t="shared" ref="Q27" si="41">Q25+Q16</f>
        <v>10453.585000000001</v>
      </c>
      <c r="R27" s="63">
        <f t="shared" ref="R27:T27" si="42">R25+R16</f>
        <v>12518.749</v>
      </c>
      <c r="S27" s="63">
        <f t="shared" si="42"/>
        <v>12776.502</v>
      </c>
      <c r="T27" s="63">
        <f t="shared" si="42"/>
        <v>11615.358999999999</v>
      </c>
      <c r="U27" s="63">
        <f t="shared" ref="U27:V27" si="43">U25+U16</f>
        <v>12668.421000000002</v>
      </c>
      <c r="V27" s="63">
        <f t="shared" si="43"/>
        <v>12976.11</v>
      </c>
      <c r="W27" s="63">
        <f t="shared" ref="W27:X27" si="44">W25+W16</f>
        <v>14383.382999999998</v>
      </c>
      <c r="X27" s="63">
        <f t="shared" si="44"/>
        <v>15049.09</v>
      </c>
      <c r="Y27" s="63">
        <f t="shared" ref="Y27:Z27" si="45">Y25+Y16</f>
        <v>14920.29</v>
      </c>
      <c r="Z27" s="63">
        <f t="shared" si="45"/>
        <v>16455.274000000001</v>
      </c>
      <c r="AA27" s="63">
        <f t="shared" ref="AA27:AE27" si="46">AA25+AA16</f>
        <v>25944.457999999999</v>
      </c>
      <c r="AB27" s="63">
        <f t="shared" si="46"/>
        <v>29557.677</v>
      </c>
      <c r="AC27" s="63">
        <f t="shared" si="46"/>
        <v>29698.312000000005</v>
      </c>
      <c r="AD27" s="63">
        <f t="shared" si="46"/>
        <v>37177.414000000004</v>
      </c>
      <c r="AE27" s="63">
        <f t="shared" si="46"/>
        <v>39194</v>
      </c>
      <c r="AF27" s="8">
        <f t="shared" ref="AF27:AN27" si="47">AF25+AF16</f>
        <v>31360.671000000002</v>
      </c>
      <c r="AG27" s="8">
        <f t="shared" si="47"/>
        <v>33724</v>
      </c>
      <c r="AH27" s="8">
        <f t="shared" si="47"/>
        <v>36468</v>
      </c>
      <c r="AI27" s="8">
        <f t="shared" si="47"/>
        <v>44729</v>
      </c>
      <c r="AJ27" s="8">
        <f t="shared" si="47"/>
        <v>36642.627</v>
      </c>
      <c r="AK27" s="8">
        <f t="shared" si="47"/>
        <v>39026</v>
      </c>
      <c r="AL27" s="8">
        <f t="shared" si="47"/>
        <v>40918.832999999999</v>
      </c>
      <c r="AM27" s="8">
        <f t="shared" si="47"/>
        <v>43743</v>
      </c>
      <c r="AN27" s="8">
        <f t="shared" si="47"/>
        <v>40522.731</v>
      </c>
      <c r="AO27" s="8">
        <f>AO25+AO16</f>
        <v>46502.798999999999</v>
      </c>
      <c r="AP27" s="63">
        <f>AP25+AP16</f>
        <v>46612.663999999997</v>
      </c>
      <c r="AQ27" s="8">
        <f>AQ25+AQ16</f>
        <v>57538</v>
      </c>
      <c r="AR27" s="8">
        <f>AR25+AR16</f>
        <v>52010.366999999998</v>
      </c>
      <c r="AS27" s="8">
        <f>AS25+AS16</f>
        <v>56684.28</v>
      </c>
      <c r="AT27" s="63">
        <f t="shared" ref="AT27" si="48">AT25+AT16</f>
        <v>53789.298000000003</v>
      </c>
      <c r="AU27" s="63">
        <f>K27</f>
        <v>59680</v>
      </c>
      <c r="AW27" s="8">
        <f t="shared" ref="AW27:BC27" si="49">AW25+AW16</f>
        <v>71015.786999999997</v>
      </c>
      <c r="AX27" s="8">
        <f t="shared" si="49"/>
        <v>77193</v>
      </c>
      <c r="AY27" s="63">
        <f t="shared" si="49"/>
        <v>76096.875</v>
      </c>
      <c r="AZ27" s="8">
        <f t="shared" si="49"/>
        <v>86988</v>
      </c>
      <c r="BA27" s="8">
        <f t="shared" si="49"/>
        <v>83799.456999999995</v>
      </c>
      <c r="BB27" s="63">
        <f t="shared" si="49"/>
        <v>86745.491999999998</v>
      </c>
      <c r="BC27" s="63">
        <f t="shared" si="49"/>
        <v>83936</v>
      </c>
      <c r="BD27" s="63">
        <f>N27</f>
        <v>92661</v>
      </c>
    </row>
    <row r="28" spans="2:56">
      <c r="B28" s="23"/>
      <c r="C28" s="10"/>
      <c r="D28" s="62"/>
      <c r="E28" s="62"/>
      <c r="F28" s="62"/>
      <c r="G28" s="62"/>
      <c r="H28" s="62"/>
      <c r="I28" s="62"/>
      <c r="J28" s="62"/>
      <c r="K28" s="62"/>
      <c r="L28" s="54"/>
      <c r="M28" s="62"/>
      <c r="N28" s="62"/>
      <c r="O28" s="7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62"/>
      <c r="AQ28" s="10"/>
      <c r="AR28" s="10"/>
      <c r="AS28" s="10"/>
      <c r="AT28" s="62"/>
      <c r="AU28" s="62"/>
      <c r="AW28" s="10"/>
      <c r="AX28" s="10"/>
      <c r="AY28" s="62"/>
      <c r="AZ28" s="10"/>
      <c r="BA28" s="10"/>
      <c r="BB28" s="62"/>
      <c r="BC28" s="62"/>
      <c r="BD28" s="62"/>
    </row>
    <row r="29" spans="2:56">
      <c r="B29" s="12" t="s">
        <v>67</v>
      </c>
      <c r="C29" s="10"/>
      <c r="D29" s="62"/>
      <c r="E29" s="62"/>
      <c r="F29" s="62"/>
      <c r="G29" s="62"/>
      <c r="H29" s="62"/>
      <c r="I29" s="62"/>
      <c r="J29" s="62"/>
      <c r="K29" s="62"/>
      <c r="L29" s="54"/>
      <c r="M29" s="62"/>
      <c r="N29" s="62"/>
      <c r="O29" s="7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62"/>
      <c r="AQ29" s="10"/>
      <c r="AR29" s="10"/>
      <c r="AS29" s="10"/>
      <c r="AT29" s="62"/>
      <c r="AU29" s="62"/>
      <c r="AW29" s="10"/>
      <c r="AX29" s="10"/>
      <c r="AY29" s="62"/>
      <c r="AZ29" s="10"/>
      <c r="BA29" s="10"/>
      <c r="BB29" s="62"/>
      <c r="BC29" s="62"/>
      <c r="BD29" s="62"/>
    </row>
    <row r="30" spans="2:56">
      <c r="B30" s="12"/>
      <c r="C30" s="10"/>
      <c r="D30" s="62"/>
      <c r="E30" s="62"/>
      <c r="F30" s="62"/>
      <c r="G30" s="62"/>
      <c r="H30" s="62"/>
      <c r="I30" s="62"/>
      <c r="J30" s="62"/>
      <c r="K30" s="62"/>
      <c r="L30" s="54"/>
      <c r="M30" s="62"/>
      <c r="N30" s="62"/>
      <c r="O30" s="71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62"/>
      <c r="AQ30" s="10"/>
      <c r="AR30" s="10"/>
      <c r="AS30" s="10"/>
      <c r="AT30" s="62"/>
      <c r="AU30" s="62"/>
      <c r="AW30" s="10"/>
      <c r="AX30" s="10"/>
      <c r="AY30" s="62"/>
      <c r="AZ30" s="10"/>
      <c r="BA30" s="10"/>
      <c r="BB30" s="62"/>
      <c r="BC30" s="62"/>
      <c r="BD30" s="62"/>
    </row>
    <row r="31" spans="2:56">
      <c r="B31" s="19" t="s">
        <v>63</v>
      </c>
      <c r="C31" s="10"/>
      <c r="D31" s="62">
        <v>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54"/>
      <c r="M31" s="62">
        <v>1</v>
      </c>
      <c r="N31" s="62">
        <v>1</v>
      </c>
      <c r="O31" s="71"/>
      <c r="P31" s="62">
        <v>1</v>
      </c>
      <c r="Q31" s="62">
        <v>1</v>
      </c>
      <c r="R31" s="62">
        <v>1</v>
      </c>
      <c r="S31" s="62">
        <f>D31</f>
        <v>1</v>
      </c>
      <c r="T31" s="62">
        <v>1</v>
      </c>
      <c r="U31" s="62">
        <v>1</v>
      </c>
      <c r="V31" s="62">
        <v>1</v>
      </c>
      <c r="W31" s="62">
        <f t="shared" ref="W31:W35" si="50">E31</f>
        <v>1</v>
      </c>
      <c r="X31" s="62">
        <v>1</v>
      </c>
      <c r="Y31" s="62">
        <v>1</v>
      </c>
      <c r="Z31" s="62">
        <v>1</v>
      </c>
      <c r="AA31" s="62">
        <f t="shared" ref="AA31:AA35" si="51">F31</f>
        <v>1</v>
      </c>
      <c r="AB31" s="62">
        <v>1</v>
      </c>
      <c r="AC31" s="62">
        <v>1</v>
      </c>
      <c r="AD31" s="62">
        <v>1</v>
      </c>
      <c r="AE31" s="62">
        <v>1</v>
      </c>
      <c r="AF31" s="10">
        <v>1</v>
      </c>
      <c r="AG31" s="10">
        <v>1</v>
      </c>
      <c r="AH31" s="10">
        <v>1</v>
      </c>
      <c r="AI31" s="10">
        <f>H31</f>
        <v>1</v>
      </c>
      <c r="AJ31" s="10">
        <v>1</v>
      </c>
      <c r="AK31" s="10">
        <v>1</v>
      </c>
      <c r="AL31" s="10">
        <v>1</v>
      </c>
      <c r="AM31" s="10">
        <f t="shared" ref="AM31:AM35" si="52">I31</f>
        <v>1</v>
      </c>
      <c r="AN31" s="10">
        <v>1</v>
      </c>
      <c r="AO31" s="10">
        <v>1</v>
      </c>
      <c r="AP31" s="62">
        <v>1</v>
      </c>
      <c r="AQ31" s="10">
        <f>J31</f>
        <v>1</v>
      </c>
      <c r="AR31" s="10">
        <v>1</v>
      </c>
      <c r="AS31" s="10">
        <v>1</v>
      </c>
      <c r="AT31" s="62">
        <v>1</v>
      </c>
      <c r="AU31" s="62">
        <f t="shared" ref="AU31:AU36" si="53">K31</f>
        <v>1</v>
      </c>
      <c r="AW31" s="10">
        <v>1</v>
      </c>
      <c r="AX31" s="10">
        <v>1</v>
      </c>
      <c r="AY31" s="62">
        <v>1</v>
      </c>
      <c r="AZ31" s="10">
        <f t="shared" ref="AZ31:AZ35" si="54">M31</f>
        <v>1</v>
      </c>
      <c r="BA31" s="10">
        <v>1</v>
      </c>
      <c r="BB31" s="62">
        <v>1</v>
      </c>
      <c r="BC31" s="62">
        <v>1</v>
      </c>
      <c r="BD31" s="62">
        <f t="shared" ref="BD31:BD36" si="55">N31</f>
        <v>1</v>
      </c>
    </row>
    <row r="32" spans="2:56">
      <c r="B32" s="19" t="s">
        <v>65</v>
      </c>
      <c r="C32" s="10"/>
      <c r="D32" s="62">
        <v>0</v>
      </c>
      <c r="E32" s="62">
        <v>-4542.5144819999996</v>
      </c>
      <c r="F32" s="62">
        <v>0</v>
      </c>
      <c r="G32" s="62">
        <v>0</v>
      </c>
      <c r="H32" s="62">
        <v>0</v>
      </c>
      <c r="I32" s="62">
        <v>-60</v>
      </c>
      <c r="J32" s="62">
        <v>-214</v>
      </c>
      <c r="K32" s="62">
        <v>-317</v>
      </c>
      <c r="L32" s="54"/>
      <c r="M32" s="62">
        <v>-214</v>
      </c>
      <c r="N32" s="62">
        <v>-317</v>
      </c>
      <c r="O32" s="71"/>
      <c r="P32" s="62"/>
      <c r="Q32" s="62"/>
      <c r="R32" s="62">
        <v>0</v>
      </c>
      <c r="S32" s="62">
        <f>D32</f>
        <v>0</v>
      </c>
      <c r="T32" s="62">
        <v>0</v>
      </c>
      <c r="U32" s="62">
        <v>0</v>
      </c>
      <c r="V32" s="62">
        <v>-4542.5144819999996</v>
      </c>
      <c r="W32" s="62">
        <f t="shared" si="50"/>
        <v>-4542.5144819999996</v>
      </c>
      <c r="X32" s="62">
        <v>-4542.5144819999996</v>
      </c>
      <c r="Y32" s="62">
        <v>-4542.5144819999996</v>
      </c>
      <c r="Z32" s="62">
        <v>-4542.5144819999996</v>
      </c>
      <c r="AA32" s="62">
        <f t="shared" si="51"/>
        <v>0</v>
      </c>
      <c r="AB32" s="62">
        <v>0</v>
      </c>
      <c r="AC32" s="62">
        <v>0</v>
      </c>
      <c r="AD32" s="62">
        <v>0</v>
      </c>
      <c r="AE32" s="62">
        <f>G32</f>
        <v>0</v>
      </c>
      <c r="AF32" s="10"/>
      <c r="AG32" s="10">
        <v>0</v>
      </c>
      <c r="AH32" s="10">
        <v>0</v>
      </c>
      <c r="AI32" s="10">
        <f>H32</f>
        <v>0</v>
      </c>
      <c r="AJ32" s="10">
        <v>0</v>
      </c>
      <c r="AK32" s="10">
        <v>-43</v>
      </c>
      <c r="AL32" s="10">
        <v>-248</v>
      </c>
      <c r="AM32" s="10">
        <f t="shared" si="52"/>
        <v>-60</v>
      </c>
      <c r="AN32" s="10">
        <v>-62</v>
      </c>
      <c r="AO32" s="10">
        <v>-108.260024316879</v>
      </c>
      <c r="AP32" s="62">
        <v>-167</v>
      </c>
      <c r="AQ32" s="10">
        <f t="shared" ref="AQ32:AQ35" si="56">J32</f>
        <v>-214</v>
      </c>
      <c r="AR32" s="10">
        <v>-353</v>
      </c>
      <c r="AS32" s="10">
        <v>-322</v>
      </c>
      <c r="AT32" s="62">
        <v>-319</v>
      </c>
      <c r="AU32" s="62">
        <f t="shared" si="53"/>
        <v>-317</v>
      </c>
      <c r="AW32" s="10">
        <v>-62.119</v>
      </c>
      <c r="AX32" s="10">
        <v>-108</v>
      </c>
      <c r="AY32" s="62">
        <v>-167</v>
      </c>
      <c r="AZ32" s="10">
        <f t="shared" si="54"/>
        <v>-214</v>
      </c>
      <c r="BA32" s="10">
        <v>-353</v>
      </c>
      <c r="BB32" s="62">
        <v>-322</v>
      </c>
      <c r="BC32" s="62">
        <v>-319</v>
      </c>
      <c r="BD32" s="62">
        <f t="shared" si="55"/>
        <v>-317</v>
      </c>
    </row>
    <row r="33" spans="2:56">
      <c r="B33" s="19" t="s">
        <v>64</v>
      </c>
      <c r="C33" s="10"/>
      <c r="D33" s="62">
        <v>6509.1360000000004</v>
      </c>
      <c r="E33" s="62">
        <v>6509.1364819999999</v>
      </c>
      <c r="F33" s="62">
        <v>6536.8440000000001</v>
      </c>
      <c r="G33" s="62">
        <v>5793</v>
      </c>
      <c r="H33" s="62">
        <v>5793</v>
      </c>
      <c r="I33" s="62">
        <v>5793</v>
      </c>
      <c r="J33" s="62">
        <v>5793</v>
      </c>
      <c r="K33" s="62">
        <v>5793</v>
      </c>
      <c r="L33" s="54"/>
      <c r="M33" s="62">
        <v>5793</v>
      </c>
      <c r="N33" s="62">
        <v>5793</v>
      </c>
      <c r="O33" s="71"/>
      <c r="P33" s="62">
        <v>6509.1360000000004</v>
      </c>
      <c r="Q33" s="62">
        <v>6509.1360000000004</v>
      </c>
      <c r="R33" s="62">
        <v>6509.1360000000004</v>
      </c>
      <c r="S33" s="62">
        <f>D33</f>
        <v>6509.1360000000004</v>
      </c>
      <c r="T33" s="62">
        <v>6509.1360000000004</v>
      </c>
      <c r="U33" s="62">
        <v>6509.1360000000004</v>
      </c>
      <c r="V33" s="62">
        <v>6509.1354819999997</v>
      </c>
      <c r="W33" s="62">
        <f t="shared" si="50"/>
        <v>6509.1364819999999</v>
      </c>
      <c r="X33" s="62">
        <v>6509.1364819999999</v>
      </c>
      <c r="Y33" s="62">
        <v>6509.1364819999999</v>
      </c>
      <c r="Z33" s="62">
        <v>6509.1364819999999</v>
      </c>
      <c r="AA33" s="62">
        <f t="shared" si="51"/>
        <v>6536.8440000000001</v>
      </c>
      <c r="AB33" s="62">
        <v>6536.8429999999998</v>
      </c>
      <c r="AC33" s="62">
        <v>6536.8440000000001</v>
      </c>
      <c r="AD33" s="62">
        <v>6536.8440000000001</v>
      </c>
      <c r="AE33" s="62">
        <f>G33</f>
        <v>5793</v>
      </c>
      <c r="AF33" s="10">
        <v>5793</v>
      </c>
      <c r="AG33" s="10">
        <v>5793</v>
      </c>
      <c r="AH33" s="10">
        <v>5793</v>
      </c>
      <c r="AI33" s="10">
        <f>H33</f>
        <v>5793</v>
      </c>
      <c r="AJ33" s="10">
        <v>5793</v>
      </c>
      <c r="AK33" s="10">
        <v>5793</v>
      </c>
      <c r="AL33" s="10">
        <v>5793</v>
      </c>
      <c r="AM33" s="10">
        <f t="shared" si="52"/>
        <v>5793</v>
      </c>
      <c r="AN33" s="10">
        <v>5793</v>
      </c>
      <c r="AO33" s="10">
        <v>5793</v>
      </c>
      <c r="AP33" s="62">
        <v>5793</v>
      </c>
      <c r="AQ33" s="10">
        <f t="shared" si="56"/>
        <v>5793</v>
      </c>
      <c r="AR33" s="10">
        <v>5793</v>
      </c>
      <c r="AS33" s="10">
        <v>5793.1959999999999</v>
      </c>
      <c r="AT33" s="62">
        <v>5793</v>
      </c>
      <c r="AU33" s="62">
        <f t="shared" si="53"/>
        <v>5793</v>
      </c>
      <c r="AW33" s="10">
        <v>5793.1949999999997</v>
      </c>
      <c r="AX33" s="10">
        <v>5793</v>
      </c>
      <c r="AY33" s="62">
        <v>5793</v>
      </c>
      <c r="AZ33" s="10">
        <f t="shared" si="54"/>
        <v>5793</v>
      </c>
      <c r="BA33" s="10">
        <v>5793</v>
      </c>
      <c r="BB33" s="62">
        <v>5793.1959999999999</v>
      </c>
      <c r="BC33" s="62">
        <v>5793</v>
      </c>
      <c r="BD33" s="62">
        <f t="shared" si="55"/>
        <v>5793</v>
      </c>
    </row>
    <row r="34" spans="2:56">
      <c r="B34" s="19" t="s">
        <v>69</v>
      </c>
      <c r="C34" s="10"/>
      <c r="D34" s="62">
        <v>-4797.2459830888502</v>
      </c>
      <c r="E34" s="62">
        <v>-4064.9671449233401</v>
      </c>
      <c r="F34" s="62">
        <v>-3878.0217683698302</v>
      </c>
      <c r="G34" s="62">
        <v>-5448</v>
      </c>
      <c r="H34" s="62">
        <v>-6362</v>
      </c>
      <c r="I34" s="62">
        <v>-6386</v>
      </c>
      <c r="J34" s="62">
        <v>-5700</v>
      </c>
      <c r="K34" s="62">
        <v>-5637</v>
      </c>
      <c r="L34" s="54"/>
      <c r="M34" s="62">
        <v>-6609</v>
      </c>
      <c r="N34" s="62">
        <v>-7305</v>
      </c>
      <c r="O34" s="71"/>
      <c r="P34" s="62">
        <v>-5861.9563440945803</v>
      </c>
      <c r="Q34" s="62">
        <v>-6120.8728661843998</v>
      </c>
      <c r="R34" s="62">
        <v>-5763.0863643475896</v>
      </c>
      <c r="S34" s="62">
        <f>D34</f>
        <v>-4797.2459830888502</v>
      </c>
      <c r="T34" s="62">
        <v>-5393.3879569209303</v>
      </c>
      <c r="U34" s="62">
        <v>-5787.9962824269796</v>
      </c>
      <c r="V34" s="62">
        <v>-5179.8509685094596</v>
      </c>
      <c r="W34" s="62">
        <f t="shared" si="50"/>
        <v>-4064.9671449233401</v>
      </c>
      <c r="X34" s="62">
        <v>-4495.1654189764104</v>
      </c>
      <c r="Y34" s="62">
        <v>-5015.3923568568798</v>
      </c>
      <c r="Z34" s="62">
        <v>-4087.07312341133</v>
      </c>
      <c r="AA34" s="62">
        <f t="shared" si="51"/>
        <v>-3878.0217683698302</v>
      </c>
      <c r="AB34" s="62">
        <v>-3853.8402296833701</v>
      </c>
      <c r="AC34" s="62">
        <v>-4348.5797490130099</v>
      </c>
      <c r="AD34" s="62">
        <v>-4063.7256662223299</v>
      </c>
      <c r="AE34" s="62">
        <f>G34</f>
        <v>-5448</v>
      </c>
      <c r="AF34" s="10">
        <v>-5417</v>
      </c>
      <c r="AG34" s="10">
        <v>-6429</v>
      </c>
      <c r="AH34" s="10">
        <v>-5378</v>
      </c>
      <c r="AI34" s="10">
        <f>H34</f>
        <v>-6362</v>
      </c>
      <c r="AJ34" s="10">
        <v>-6451</v>
      </c>
      <c r="AK34" s="10">
        <v>-8087</v>
      </c>
      <c r="AL34" s="10">
        <v>-6400</v>
      </c>
      <c r="AM34" s="10">
        <f t="shared" si="52"/>
        <v>-6386</v>
      </c>
      <c r="AN34" s="10">
        <v>-6002</v>
      </c>
      <c r="AO34" s="10">
        <v>-7243.1781902644698</v>
      </c>
      <c r="AP34" s="62">
        <v>-5068</v>
      </c>
      <c r="AQ34" s="10">
        <f t="shared" si="56"/>
        <v>-5700</v>
      </c>
      <c r="AR34" s="10">
        <v>-5331</v>
      </c>
      <c r="AS34" s="10">
        <v>-6627</v>
      </c>
      <c r="AT34" s="62">
        <v>-4175.3389999999999</v>
      </c>
      <c r="AU34" s="62">
        <f t="shared" si="53"/>
        <v>-5637</v>
      </c>
      <c r="AW34" s="10">
        <v>-6106</v>
      </c>
      <c r="AX34" s="10">
        <v>-8123</v>
      </c>
      <c r="AY34" s="62">
        <v>-5703.2179999999998</v>
      </c>
      <c r="AZ34" s="10">
        <f t="shared" si="54"/>
        <v>-6609</v>
      </c>
      <c r="BA34" s="10">
        <v>-6694</v>
      </c>
      <c r="BB34" s="62">
        <v>-7793</v>
      </c>
      <c r="BC34" s="62">
        <v>-5554</v>
      </c>
      <c r="BD34" s="62">
        <f t="shared" si="55"/>
        <v>-7305</v>
      </c>
    </row>
    <row r="35" spans="2:56">
      <c r="B35" s="20" t="s">
        <v>70</v>
      </c>
      <c r="C35" s="11"/>
      <c r="D35" s="58">
        <v>0</v>
      </c>
      <c r="E35" s="58">
        <v>0</v>
      </c>
      <c r="F35" s="58">
        <v>-12.901999999999999</v>
      </c>
      <c r="G35" s="58">
        <v>49</v>
      </c>
      <c r="H35" s="58">
        <v>114</v>
      </c>
      <c r="I35" s="58">
        <v>130</v>
      </c>
      <c r="J35" s="58">
        <v>118</v>
      </c>
      <c r="K35" s="58">
        <v>130</v>
      </c>
      <c r="L35" s="54"/>
      <c r="M35" s="58">
        <v>87</v>
      </c>
      <c r="N35" s="58">
        <v>161</v>
      </c>
      <c r="O35" s="71"/>
      <c r="P35" s="58"/>
      <c r="Q35" s="58"/>
      <c r="R35" s="58">
        <v>0</v>
      </c>
      <c r="S35" s="58">
        <f>D35</f>
        <v>0</v>
      </c>
      <c r="T35" s="58">
        <v>0</v>
      </c>
      <c r="U35" s="58">
        <v>0</v>
      </c>
      <c r="V35" s="58">
        <v>0</v>
      </c>
      <c r="W35" s="58">
        <f t="shared" si="50"/>
        <v>0</v>
      </c>
      <c r="X35" s="58">
        <v>0</v>
      </c>
      <c r="Y35" s="58">
        <v>4.968</v>
      </c>
      <c r="Z35" s="58">
        <v>4.968</v>
      </c>
      <c r="AA35" s="58">
        <f t="shared" si="51"/>
        <v>-12.901999999999999</v>
      </c>
      <c r="AB35" s="58">
        <v>-1.724</v>
      </c>
      <c r="AC35" s="58">
        <v>-0.78</v>
      </c>
      <c r="AD35" s="58">
        <v>7.44</v>
      </c>
      <c r="AE35" s="58">
        <f>G35</f>
        <v>49</v>
      </c>
      <c r="AF35" s="11">
        <v>98</v>
      </c>
      <c r="AG35" s="11">
        <v>112</v>
      </c>
      <c r="AH35" s="11">
        <v>85</v>
      </c>
      <c r="AI35" s="11">
        <f>H35</f>
        <v>114</v>
      </c>
      <c r="AJ35" s="11">
        <v>134</v>
      </c>
      <c r="AK35" s="11">
        <v>132</v>
      </c>
      <c r="AL35" s="11">
        <v>138</v>
      </c>
      <c r="AM35" s="11">
        <f t="shared" si="52"/>
        <v>130</v>
      </c>
      <c r="AN35" s="11">
        <v>122</v>
      </c>
      <c r="AO35" s="11">
        <v>113.27800000000001</v>
      </c>
      <c r="AP35" s="58">
        <v>118.154</v>
      </c>
      <c r="AQ35" s="11">
        <f t="shared" si="56"/>
        <v>118</v>
      </c>
      <c r="AR35" s="11">
        <v>137.08600000000001</v>
      </c>
      <c r="AS35" s="11">
        <v>131</v>
      </c>
      <c r="AT35" s="58">
        <v>126.24299999999999</v>
      </c>
      <c r="AU35" s="58">
        <f t="shared" si="53"/>
        <v>130</v>
      </c>
      <c r="AW35" s="11">
        <v>122.21</v>
      </c>
      <c r="AX35" s="11">
        <v>114</v>
      </c>
      <c r="AY35" s="58">
        <v>119.57</v>
      </c>
      <c r="AZ35" s="11">
        <f t="shared" si="54"/>
        <v>87</v>
      </c>
      <c r="BA35" s="11">
        <v>148.09200000000001</v>
      </c>
      <c r="BB35" s="58">
        <v>132</v>
      </c>
      <c r="BC35" s="58">
        <v>128</v>
      </c>
      <c r="BD35" s="58">
        <f t="shared" si="55"/>
        <v>161</v>
      </c>
    </row>
    <row r="36" spans="2:56">
      <c r="B36" s="18" t="s">
        <v>71</v>
      </c>
      <c r="C36" s="8"/>
      <c r="D36" s="8">
        <f>SUM(D31:D35)</f>
        <v>1712.8900169111503</v>
      </c>
      <c r="E36" s="63">
        <f>SUM(E31:E35)</f>
        <v>-2097.3451449233398</v>
      </c>
      <c r="F36" s="63">
        <f t="shared" ref="F36:K36" si="57">SUM(F31:F35)</f>
        <v>2646.9202316301698</v>
      </c>
      <c r="G36" s="63">
        <f t="shared" si="57"/>
        <v>395</v>
      </c>
      <c r="H36" s="63">
        <f t="shared" si="57"/>
        <v>-454</v>
      </c>
      <c r="I36" s="63">
        <f t="shared" si="57"/>
        <v>-522</v>
      </c>
      <c r="J36" s="63">
        <f t="shared" si="57"/>
        <v>-2</v>
      </c>
      <c r="K36" s="63">
        <f t="shared" si="57"/>
        <v>-30</v>
      </c>
      <c r="L36" s="54"/>
      <c r="M36" s="63">
        <f>SUM(M31:M35)</f>
        <v>-942</v>
      </c>
      <c r="N36" s="63">
        <f t="shared" ref="N36" si="58">SUM(N31:N35)</f>
        <v>-1667</v>
      </c>
      <c r="O36" s="71"/>
      <c r="P36" s="63">
        <f t="shared" ref="P36:AM36" si="59">SUM(P31:P35)</f>
        <v>648.17965590542008</v>
      </c>
      <c r="Q36" s="63">
        <f t="shared" si="59"/>
        <v>389.26313381560067</v>
      </c>
      <c r="R36" s="63">
        <f t="shared" si="59"/>
        <v>747.04963565241087</v>
      </c>
      <c r="S36" s="63">
        <f t="shared" si="59"/>
        <v>1712.8900169111503</v>
      </c>
      <c r="T36" s="63">
        <f t="shared" si="59"/>
        <v>1116.7480430790702</v>
      </c>
      <c r="U36" s="63">
        <f t="shared" si="59"/>
        <v>722.13971757302079</v>
      </c>
      <c r="V36" s="63">
        <f t="shared" si="59"/>
        <v>-3212.2299685094595</v>
      </c>
      <c r="W36" s="63">
        <f t="shared" si="59"/>
        <v>-2097.3451449233398</v>
      </c>
      <c r="X36" s="63">
        <f t="shared" si="59"/>
        <v>-2527.5434189764101</v>
      </c>
      <c r="Y36" s="63">
        <f t="shared" si="59"/>
        <v>-3042.8023568568797</v>
      </c>
      <c r="Z36" s="63">
        <f t="shared" si="59"/>
        <v>-2114.4831234113299</v>
      </c>
      <c r="AA36" s="63">
        <f t="shared" si="59"/>
        <v>2646.9202316301698</v>
      </c>
      <c r="AB36" s="63">
        <f t="shared" si="59"/>
        <v>2682.2787703166296</v>
      </c>
      <c r="AC36" s="63">
        <f t="shared" si="59"/>
        <v>2188.48425098699</v>
      </c>
      <c r="AD36" s="63">
        <f t="shared" si="59"/>
        <v>2481.5583337776702</v>
      </c>
      <c r="AE36" s="63">
        <f t="shared" si="59"/>
        <v>395</v>
      </c>
      <c r="AF36" s="63">
        <f t="shared" si="59"/>
        <v>475</v>
      </c>
      <c r="AG36" s="63">
        <f t="shared" si="59"/>
        <v>-523</v>
      </c>
      <c r="AH36" s="63">
        <f t="shared" si="59"/>
        <v>501</v>
      </c>
      <c r="AI36" s="63">
        <f t="shared" si="59"/>
        <v>-454</v>
      </c>
      <c r="AJ36" s="63">
        <f t="shared" si="59"/>
        <v>-523</v>
      </c>
      <c r="AK36" s="63">
        <f t="shared" si="59"/>
        <v>-2204</v>
      </c>
      <c r="AL36" s="63">
        <f t="shared" si="59"/>
        <v>-716</v>
      </c>
      <c r="AM36" s="63">
        <f t="shared" si="59"/>
        <v>-522</v>
      </c>
      <c r="AN36" s="63">
        <f t="shared" ref="AN36:AT36" si="60">SUM(AN31:AN35)</f>
        <v>-148</v>
      </c>
      <c r="AO36" s="63">
        <f t="shared" si="60"/>
        <v>-1444.1602145813488</v>
      </c>
      <c r="AP36" s="63">
        <f t="shared" si="60"/>
        <v>677.154</v>
      </c>
      <c r="AQ36" s="63">
        <f t="shared" si="60"/>
        <v>-2</v>
      </c>
      <c r="AR36" s="63">
        <f t="shared" si="60"/>
        <v>247.08600000000001</v>
      </c>
      <c r="AS36" s="63">
        <f t="shared" si="60"/>
        <v>-1023.8040000000001</v>
      </c>
      <c r="AT36" s="63">
        <f t="shared" si="60"/>
        <v>1425.904</v>
      </c>
      <c r="AU36" s="63">
        <f t="shared" si="53"/>
        <v>-30</v>
      </c>
      <c r="AW36" s="63">
        <f t="shared" ref="AW36:BC36" si="61">SUM(AW31:AW35)</f>
        <v>-251.714</v>
      </c>
      <c r="AX36" s="63">
        <f t="shared" si="61"/>
        <v>-2323</v>
      </c>
      <c r="AY36" s="63">
        <f t="shared" si="61"/>
        <v>43.352000000000146</v>
      </c>
      <c r="AZ36" s="63">
        <f t="shared" si="61"/>
        <v>-942</v>
      </c>
      <c r="BA36" s="63">
        <f t="shared" si="61"/>
        <v>-1104.9079999999999</v>
      </c>
      <c r="BB36" s="63">
        <f t="shared" si="61"/>
        <v>-2188.8040000000001</v>
      </c>
      <c r="BC36" s="63">
        <f t="shared" si="61"/>
        <v>49</v>
      </c>
      <c r="BD36" s="63">
        <f t="shared" si="55"/>
        <v>-1667</v>
      </c>
    </row>
    <row r="37" spans="2:56">
      <c r="B37" s="13"/>
      <c r="C37" s="10"/>
      <c r="D37" s="62"/>
      <c r="E37" s="62"/>
      <c r="F37" s="62"/>
      <c r="G37" s="62"/>
      <c r="H37" s="62"/>
      <c r="I37" s="62"/>
      <c r="J37" s="62"/>
      <c r="K37" s="62"/>
      <c r="L37" s="54"/>
      <c r="M37" s="62"/>
      <c r="N37" s="62"/>
      <c r="O37" s="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62"/>
      <c r="AQ37" s="10"/>
      <c r="AR37" s="10"/>
      <c r="AS37" s="10"/>
      <c r="AT37" s="62"/>
      <c r="AU37" s="62"/>
      <c r="AW37" s="10"/>
      <c r="AX37" s="10"/>
      <c r="AY37" s="62"/>
      <c r="AZ37" s="10"/>
      <c r="BA37" s="10"/>
      <c r="BB37" s="62"/>
      <c r="BC37" s="62"/>
      <c r="BD37" s="62"/>
    </row>
    <row r="38" spans="2:56">
      <c r="B38" s="12" t="s">
        <v>68</v>
      </c>
      <c r="C38" s="10"/>
      <c r="D38" s="62"/>
      <c r="E38" s="62"/>
      <c r="F38" s="62"/>
      <c r="G38" s="62"/>
      <c r="H38" s="62"/>
      <c r="I38" s="62"/>
      <c r="J38" s="62"/>
      <c r="K38" s="62"/>
      <c r="L38" s="54"/>
      <c r="M38" s="62"/>
      <c r="N38" s="62"/>
      <c r="O38" s="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62"/>
      <c r="AQ38" s="10"/>
      <c r="AR38" s="10"/>
      <c r="AS38" s="10"/>
      <c r="AT38" s="62"/>
      <c r="AU38" s="62"/>
      <c r="AW38" s="10"/>
      <c r="AX38" s="10"/>
      <c r="AY38" s="62"/>
      <c r="AZ38" s="10"/>
      <c r="BA38" s="10"/>
      <c r="BB38" s="62"/>
      <c r="BC38" s="62"/>
      <c r="BD38" s="62"/>
    </row>
    <row r="39" spans="2:56">
      <c r="B39" s="13"/>
      <c r="C39" s="10"/>
      <c r="D39" s="62"/>
      <c r="E39" s="62"/>
      <c r="F39" s="62"/>
      <c r="G39" s="62"/>
      <c r="H39" s="62"/>
      <c r="I39" s="62"/>
      <c r="J39" s="62"/>
      <c r="K39" s="62"/>
      <c r="L39" s="54"/>
      <c r="M39" s="62"/>
      <c r="N39" s="62"/>
      <c r="O39" s="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62"/>
      <c r="AQ39" s="10"/>
      <c r="AR39" s="10"/>
      <c r="AS39" s="10"/>
      <c r="AT39" s="62"/>
      <c r="AU39" s="62"/>
      <c r="AW39" s="10"/>
      <c r="AX39" s="10"/>
      <c r="AY39" s="62"/>
      <c r="AZ39" s="10"/>
      <c r="BA39" s="10"/>
      <c r="BB39" s="62"/>
      <c r="BC39" s="62"/>
      <c r="BD39" s="62"/>
    </row>
    <row r="40" spans="2:56">
      <c r="B40" s="19" t="s">
        <v>72</v>
      </c>
      <c r="C40" s="10"/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54"/>
      <c r="M40" s="62">
        <v>23706</v>
      </c>
      <c r="N40" s="62">
        <v>27635</v>
      </c>
      <c r="O40" s="1"/>
      <c r="P40" s="62">
        <v>0</v>
      </c>
      <c r="Q40" s="62">
        <v>0</v>
      </c>
      <c r="R40" s="62">
        <v>0</v>
      </c>
      <c r="S40" s="62">
        <f t="shared" ref="S40:S42" si="62">D40</f>
        <v>0</v>
      </c>
      <c r="T40" s="62">
        <v>0</v>
      </c>
      <c r="U40" s="62">
        <v>0</v>
      </c>
      <c r="V40" s="62">
        <v>0</v>
      </c>
      <c r="W40" s="62">
        <f t="shared" ref="W40:W42" si="63">E40</f>
        <v>0</v>
      </c>
      <c r="X40" s="62">
        <v>0</v>
      </c>
      <c r="Y40" s="62">
        <v>0</v>
      </c>
      <c r="Z40" s="62">
        <v>0</v>
      </c>
      <c r="AA40" s="62">
        <f t="shared" ref="AA40:AA42" si="64">F40</f>
        <v>0</v>
      </c>
      <c r="AB40" s="62">
        <v>0</v>
      </c>
      <c r="AC40" s="62">
        <v>0</v>
      </c>
      <c r="AD40" s="62">
        <v>0</v>
      </c>
      <c r="AE40" s="62">
        <f>G40</f>
        <v>0</v>
      </c>
      <c r="AF40" s="10">
        <v>0</v>
      </c>
      <c r="AG40" s="10">
        <v>0</v>
      </c>
      <c r="AH40" s="10">
        <v>0</v>
      </c>
      <c r="AI40" s="10">
        <f>H40</f>
        <v>0</v>
      </c>
      <c r="AJ40" s="10">
        <v>0</v>
      </c>
      <c r="AK40" s="10">
        <v>0</v>
      </c>
      <c r="AL40" s="10">
        <v>0</v>
      </c>
      <c r="AM40" s="10">
        <f t="shared" ref="AM40:AM42" si="65">I40</f>
        <v>0</v>
      </c>
      <c r="AN40" s="10">
        <v>0</v>
      </c>
      <c r="AO40" s="10">
        <v>0</v>
      </c>
      <c r="AP40" s="62">
        <v>0</v>
      </c>
      <c r="AQ40" s="10">
        <f t="shared" ref="AQ40:AQ42" si="66">J40</f>
        <v>0</v>
      </c>
      <c r="AR40" s="10">
        <v>0</v>
      </c>
      <c r="AS40" s="10">
        <v>0</v>
      </c>
      <c r="AT40" s="10">
        <v>0</v>
      </c>
      <c r="AU40" s="10">
        <f t="shared" ref="AU40:AU43" si="67">K40</f>
        <v>0</v>
      </c>
      <c r="AW40" s="10">
        <v>25692.823</v>
      </c>
      <c r="AX40" s="10">
        <v>28180</v>
      </c>
      <c r="AY40" s="62">
        <v>24005.032999999999</v>
      </c>
      <c r="AZ40" s="10">
        <f t="shared" ref="AZ40:AZ42" si="68">M40</f>
        <v>23706</v>
      </c>
      <c r="BA40" s="10">
        <v>26238.149000000001</v>
      </c>
      <c r="BB40" s="62">
        <v>25051</v>
      </c>
      <c r="BC40" s="62">
        <v>25274</v>
      </c>
      <c r="BD40" s="62">
        <f t="shared" ref="BD40:BD43" si="69">N40</f>
        <v>27635</v>
      </c>
    </row>
    <row r="41" spans="2:56">
      <c r="B41" s="19" t="s">
        <v>73</v>
      </c>
      <c r="C41" s="10"/>
      <c r="D41" s="62">
        <v>1997.5630000000001</v>
      </c>
      <c r="E41" s="62">
        <v>4350</v>
      </c>
      <c r="F41" s="62">
        <v>3487.67</v>
      </c>
      <c r="G41" s="62">
        <v>5465</v>
      </c>
      <c r="H41" s="62">
        <v>6514</v>
      </c>
      <c r="I41" s="62">
        <v>8956</v>
      </c>
      <c r="J41" s="62">
        <v>8928</v>
      </c>
      <c r="K41" s="62">
        <v>8980</v>
      </c>
      <c r="L41" s="54"/>
      <c r="M41" s="62">
        <v>8928</v>
      </c>
      <c r="N41" s="62">
        <v>8980</v>
      </c>
      <c r="O41" s="1"/>
      <c r="P41" s="62">
        <v>3850</v>
      </c>
      <c r="Q41" s="62">
        <v>3200</v>
      </c>
      <c r="R41" s="62">
        <v>3270.605</v>
      </c>
      <c r="S41" s="62">
        <f t="shared" si="62"/>
        <v>1997.5630000000001</v>
      </c>
      <c r="T41" s="62">
        <v>2068.3319999999999</v>
      </c>
      <c r="U41" s="62">
        <v>1150</v>
      </c>
      <c r="V41" s="62">
        <v>4350</v>
      </c>
      <c r="W41" s="62">
        <f t="shared" si="63"/>
        <v>4350</v>
      </c>
      <c r="X41" s="62">
        <v>4350</v>
      </c>
      <c r="Y41" s="62">
        <v>3200</v>
      </c>
      <c r="Z41" s="62">
        <v>3200</v>
      </c>
      <c r="AA41" s="62">
        <f t="shared" si="64"/>
        <v>3487.67</v>
      </c>
      <c r="AB41" s="62">
        <v>3485.3829999999998</v>
      </c>
      <c r="AC41" s="62">
        <v>4245.5640000000003</v>
      </c>
      <c r="AD41" s="62">
        <v>5945.5640000000003</v>
      </c>
      <c r="AE41" s="62">
        <f>G41</f>
        <v>5465</v>
      </c>
      <c r="AF41" s="10">
        <v>5065.1130000000003</v>
      </c>
      <c r="AG41" s="10">
        <v>4665</v>
      </c>
      <c r="AH41" s="10">
        <v>4265</v>
      </c>
      <c r="AI41" s="10">
        <f>H41</f>
        <v>6514</v>
      </c>
      <c r="AJ41" s="10">
        <v>10047.369000000001</v>
      </c>
      <c r="AK41" s="10">
        <v>6708</v>
      </c>
      <c r="AL41" s="10">
        <v>10003.753000000001</v>
      </c>
      <c r="AM41" s="10">
        <f t="shared" si="65"/>
        <v>8956</v>
      </c>
      <c r="AN41" s="10">
        <v>7863.7539999999999</v>
      </c>
      <c r="AO41" s="10">
        <v>10557.406999999999</v>
      </c>
      <c r="AP41" s="62">
        <v>10674.138000000001</v>
      </c>
      <c r="AQ41" s="10">
        <f t="shared" si="66"/>
        <v>8928</v>
      </c>
      <c r="AR41" s="10">
        <v>5220</v>
      </c>
      <c r="AS41" s="10">
        <v>5950</v>
      </c>
      <c r="AT41" s="62">
        <v>5980</v>
      </c>
      <c r="AU41" s="62">
        <f t="shared" si="67"/>
        <v>8980</v>
      </c>
      <c r="AW41" s="10">
        <v>7863.7539999999999</v>
      </c>
      <c r="AX41" s="10">
        <v>10557</v>
      </c>
      <c r="AY41" s="62">
        <v>10674.138000000001</v>
      </c>
      <c r="AZ41" s="10">
        <f t="shared" si="68"/>
        <v>8928</v>
      </c>
      <c r="BA41" s="10">
        <v>5220</v>
      </c>
      <c r="BB41" s="62">
        <v>5950</v>
      </c>
      <c r="BC41" s="62">
        <v>5980</v>
      </c>
      <c r="BD41" s="62">
        <f t="shared" si="69"/>
        <v>8980</v>
      </c>
    </row>
    <row r="42" spans="2:56">
      <c r="B42" s="20" t="s">
        <v>62</v>
      </c>
      <c r="C42" s="11"/>
      <c r="D42" s="58">
        <v>30.341000000000001</v>
      </c>
      <c r="E42" s="58">
        <v>88.644000000000005</v>
      </c>
      <c r="F42" s="58">
        <v>34.994</v>
      </c>
      <c r="G42" s="58">
        <v>63</v>
      </c>
      <c r="H42" s="58">
        <v>69</v>
      </c>
      <c r="I42" s="58">
        <v>29</v>
      </c>
      <c r="J42" s="58">
        <v>152</v>
      </c>
      <c r="K42" s="58">
        <v>104</v>
      </c>
      <c r="L42" s="54"/>
      <c r="M42" s="58">
        <v>152</v>
      </c>
      <c r="N42" s="58">
        <v>104</v>
      </c>
      <c r="O42" s="1"/>
      <c r="P42" s="58">
        <v>35.640999999999998</v>
      </c>
      <c r="Q42" s="58">
        <v>46.506999999999998</v>
      </c>
      <c r="R42" s="58">
        <v>51.274000000000001</v>
      </c>
      <c r="S42" s="58">
        <f t="shared" si="62"/>
        <v>30.341000000000001</v>
      </c>
      <c r="T42" s="58">
        <v>28.359000000000002</v>
      </c>
      <c r="U42" s="58">
        <v>34.28</v>
      </c>
      <c r="V42" s="58">
        <v>49.012</v>
      </c>
      <c r="W42" s="58">
        <f t="shared" si="63"/>
        <v>88.644000000000005</v>
      </c>
      <c r="X42" s="58">
        <v>26.597000000000001</v>
      </c>
      <c r="Y42" s="58">
        <v>92.125</v>
      </c>
      <c r="Z42" s="58">
        <v>112.90300000000001</v>
      </c>
      <c r="AA42" s="58">
        <f t="shared" si="64"/>
        <v>34.994</v>
      </c>
      <c r="AB42" s="58">
        <v>36.279000000000003</v>
      </c>
      <c r="AC42" s="58">
        <v>98.623000000000005</v>
      </c>
      <c r="AD42" s="58">
        <v>98.117000000000004</v>
      </c>
      <c r="AE42" s="58">
        <f>G42</f>
        <v>63</v>
      </c>
      <c r="AF42" s="11">
        <v>70.924999999999997</v>
      </c>
      <c r="AG42" s="11">
        <v>42</v>
      </c>
      <c r="AH42" s="11">
        <v>32</v>
      </c>
      <c r="AI42" s="11">
        <f>H42</f>
        <v>69</v>
      </c>
      <c r="AJ42" s="11">
        <v>73.498000000000005</v>
      </c>
      <c r="AK42" s="11">
        <v>76</v>
      </c>
      <c r="AL42" s="11">
        <v>80.790999999999997</v>
      </c>
      <c r="AM42" s="11">
        <f t="shared" si="65"/>
        <v>29</v>
      </c>
      <c r="AN42" s="11">
        <v>33.33</v>
      </c>
      <c r="AO42" s="11">
        <v>35.020000000000003</v>
      </c>
      <c r="AP42" s="58">
        <v>81.676000000000002</v>
      </c>
      <c r="AQ42" s="11">
        <f t="shared" si="66"/>
        <v>152</v>
      </c>
      <c r="AR42" s="11">
        <v>122.75700000000001</v>
      </c>
      <c r="AS42" s="11">
        <v>117.80200000000001</v>
      </c>
      <c r="AT42" s="58">
        <v>100</v>
      </c>
      <c r="AU42" s="58">
        <f t="shared" si="67"/>
        <v>104</v>
      </c>
      <c r="AW42" s="11">
        <v>33.33</v>
      </c>
      <c r="AX42" s="11">
        <v>36</v>
      </c>
      <c r="AY42" s="58">
        <v>81.676000000000002</v>
      </c>
      <c r="AZ42" s="11">
        <f t="shared" si="68"/>
        <v>152</v>
      </c>
      <c r="BA42" s="11">
        <v>122.75700000000001</v>
      </c>
      <c r="BB42" s="58">
        <v>117.80200000000001</v>
      </c>
      <c r="BC42" s="58">
        <v>100</v>
      </c>
      <c r="BD42" s="58">
        <f t="shared" si="69"/>
        <v>104</v>
      </c>
    </row>
    <row r="43" spans="2:56">
      <c r="B43" s="18" t="s">
        <v>74</v>
      </c>
      <c r="C43" s="8"/>
      <c r="D43" s="8">
        <f t="shared" ref="D43:K43" si="70">SUM(D40:D42)</f>
        <v>2027.904</v>
      </c>
      <c r="E43" s="63">
        <f t="shared" si="70"/>
        <v>4438.6440000000002</v>
      </c>
      <c r="F43" s="63">
        <f t="shared" si="70"/>
        <v>3522.6640000000002</v>
      </c>
      <c r="G43" s="63">
        <f t="shared" si="70"/>
        <v>5528</v>
      </c>
      <c r="H43" s="63">
        <f t="shared" si="70"/>
        <v>6583</v>
      </c>
      <c r="I43" s="63">
        <f t="shared" si="70"/>
        <v>8985</v>
      </c>
      <c r="J43" s="63">
        <f t="shared" si="70"/>
        <v>9080</v>
      </c>
      <c r="K43" s="63">
        <f t="shared" si="70"/>
        <v>9084</v>
      </c>
      <c r="L43" s="54"/>
      <c r="M43" s="63">
        <v>32786</v>
      </c>
      <c r="N43" s="63">
        <f t="shared" ref="N43" si="71">SUM(N40:N42)</f>
        <v>36719</v>
      </c>
      <c r="O43" s="1"/>
      <c r="P43" s="8">
        <f t="shared" ref="P43:AE43" si="72">SUM(P40:P42)</f>
        <v>3885.6410000000001</v>
      </c>
      <c r="Q43" s="63">
        <f t="shared" si="72"/>
        <v>3246.5070000000001</v>
      </c>
      <c r="R43" s="63">
        <f t="shared" si="72"/>
        <v>3321.8789999999999</v>
      </c>
      <c r="S43" s="63">
        <f t="shared" si="72"/>
        <v>2027.904</v>
      </c>
      <c r="T43" s="63">
        <f t="shared" si="72"/>
        <v>2096.6909999999998</v>
      </c>
      <c r="U43" s="63">
        <f t="shared" si="72"/>
        <v>1184.28</v>
      </c>
      <c r="V43" s="63">
        <f t="shared" si="72"/>
        <v>4399.0119999999997</v>
      </c>
      <c r="W43" s="63">
        <f t="shared" si="72"/>
        <v>4438.6440000000002</v>
      </c>
      <c r="X43" s="63">
        <f t="shared" si="72"/>
        <v>4376.5969999999998</v>
      </c>
      <c r="Y43" s="63">
        <f t="shared" si="72"/>
        <v>3292.125</v>
      </c>
      <c r="Z43" s="63">
        <f t="shared" si="72"/>
        <v>3312.9029999999998</v>
      </c>
      <c r="AA43" s="63">
        <f t="shared" si="72"/>
        <v>3522.6640000000002</v>
      </c>
      <c r="AB43" s="63">
        <f t="shared" si="72"/>
        <v>3521.6619999999998</v>
      </c>
      <c r="AC43" s="63">
        <f t="shared" si="72"/>
        <v>4344.1869999999999</v>
      </c>
      <c r="AD43" s="63">
        <f t="shared" si="72"/>
        <v>6043.6810000000005</v>
      </c>
      <c r="AE43" s="63">
        <f t="shared" si="72"/>
        <v>5528</v>
      </c>
      <c r="AF43" s="8">
        <f t="shared" ref="AF43:AS43" si="73">SUM(AF40:AF42)</f>
        <v>5136.0380000000005</v>
      </c>
      <c r="AG43" s="8">
        <f t="shared" si="73"/>
        <v>4707</v>
      </c>
      <c r="AH43" s="8">
        <f t="shared" si="73"/>
        <v>4297</v>
      </c>
      <c r="AI43" s="8">
        <f t="shared" si="73"/>
        <v>6583</v>
      </c>
      <c r="AJ43" s="8">
        <f t="shared" si="73"/>
        <v>10120.867</v>
      </c>
      <c r="AK43" s="8">
        <f t="shared" si="73"/>
        <v>6784</v>
      </c>
      <c r="AL43" s="8">
        <f t="shared" si="73"/>
        <v>10084.544</v>
      </c>
      <c r="AM43" s="8">
        <f t="shared" si="73"/>
        <v>8985</v>
      </c>
      <c r="AN43" s="8">
        <f t="shared" si="73"/>
        <v>7897.0839999999998</v>
      </c>
      <c r="AO43" s="8">
        <f t="shared" si="73"/>
        <v>10592.427</v>
      </c>
      <c r="AP43" s="63">
        <f t="shared" si="73"/>
        <v>10755.814</v>
      </c>
      <c r="AQ43" s="8">
        <f t="shared" si="73"/>
        <v>9080</v>
      </c>
      <c r="AR43" s="8">
        <f t="shared" si="73"/>
        <v>5342.7569999999996</v>
      </c>
      <c r="AS43" s="8">
        <f t="shared" si="73"/>
        <v>6067.8019999999997</v>
      </c>
      <c r="AT43" s="63">
        <f>SUM(AT40:AT42)</f>
        <v>6080</v>
      </c>
      <c r="AU43" s="63">
        <f t="shared" si="67"/>
        <v>9084</v>
      </c>
      <c r="AW43" s="8">
        <f t="shared" ref="AW43:AX43" si="74">SUM(AW40:AW42)</f>
        <v>33589.906999999999</v>
      </c>
      <c r="AX43" s="8">
        <f t="shared" si="74"/>
        <v>38773</v>
      </c>
      <c r="AY43" s="63">
        <f>SUM(AY40:AY42)</f>
        <v>34760.847000000002</v>
      </c>
      <c r="AZ43" s="8">
        <f>SUM(AZ40:AZ42)</f>
        <v>32786</v>
      </c>
      <c r="BA43" s="8">
        <f>SUM(BA40:BA42)</f>
        <v>31580.906000000003</v>
      </c>
      <c r="BB43" s="63">
        <f>SUM(BB40:BB42)</f>
        <v>31118.802</v>
      </c>
      <c r="BC43" s="63">
        <f>SUM(BC40:BC42)</f>
        <v>31354</v>
      </c>
      <c r="BD43" s="63">
        <f t="shared" si="69"/>
        <v>36719</v>
      </c>
    </row>
    <row r="44" spans="2:56">
      <c r="B44" s="13"/>
      <c r="C44" s="10"/>
      <c r="D44" s="62"/>
      <c r="E44" s="62"/>
      <c r="F44" s="62"/>
      <c r="G44" s="62"/>
      <c r="H44" s="62"/>
      <c r="I44" s="62"/>
      <c r="J44" s="62"/>
      <c r="K44" s="62"/>
      <c r="L44" s="54"/>
      <c r="M44" s="62"/>
      <c r="N44" s="62"/>
      <c r="O44" s="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62"/>
      <c r="AQ44" s="10"/>
      <c r="AR44" s="10"/>
      <c r="AS44" s="10"/>
      <c r="AT44" s="62"/>
      <c r="AU44" s="62"/>
      <c r="AW44" s="10"/>
      <c r="AX44" s="10"/>
      <c r="AY44" s="62"/>
      <c r="AZ44" s="10"/>
      <c r="BA44" s="10"/>
      <c r="BB44" s="62"/>
      <c r="BC44" s="62"/>
      <c r="BD44" s="62"/>
    </row>
    <row r="45" spans="2:56">
      <c r="B45" s="19" t="s">
        <v>59</v>
      </c>
      <c r="C45" s="10"/>
      <c r="D45" s="62">
        <v>6543.4629999999997</v>
      </c>
      <c r="E45" s="62">
        <f>8126.841</f>
        <v>8126.8410000000003</v>
      </c>
      <c r="F45" s="62">
        <f>10094.215</f>
        <v>10094.215</v>
      </c>
      <c r="G45" s="62">
        <v>16718</v>
      </c>
      <c r="H45" s="62">
        <v>25215</v>
      </c>
      <c r="I45" s="62">
        <v>24388</v>
      </c>
      <c r="J45" s="62">
        <v>29747</v>
      </c>
      <c r="K45" s="62">
        <v>32911</v>
      </c>
      <c r="L45" s="54"/>
      <c r="M45" s="62">
        <v>29747</v>
      </c>
      <c r="N45" s="62">
        <v>32911</v>
      </c>
      <c r="O45" s="13"/>
      <c r="P45" s="62">
        <v>4312.2879999999996</v>
      </c>
      <c r="Q45" s="62">
        <v>5031.8689999999997</v>
      </c>
      <c r="R45" s="62">
        <v>6026.0379999999996</v>
      </c>
      <c r="S45" s="62">
        <f t="shared" ref="S45:S50" si="75">D45</f>
        <v>6543.4629999999997</v>
      </c>
      <c r="T45" s="62">
        <v>5560.6409999999996</v>
      </c>
      <c r="U45" s="62">
        <v>7144.56</v>
      </c>
      <c r="V45" s="62">
        <v>7540.4920000000002</v>
      </c>
      <c r="W45" s="62">
        <f t="shared" ref="W45:W50" si="76">E45</f>
        <v>8126.8410000000003</v>
      </c>
      <c r="X45" s="62">
        <v>6888.893</v>
      </c>
      <c r="Y45" s="62">
        <v>7201.7280000000001</v>
      </c>
      <c r="Z45" s="62">
        <v>9158.4159999999993</v>
      </c>
      <c r="AA45" s="62">
        <f t="shared" ref="AA45:AA50" si="77">F45</f>
        <v>10094.215</v>
      </c>
      <c r="AB45" s="62">
        <v>10403.093999999999</v>
      </c>
      <c r="AC45" s="62">
        <v>10056.513000000001</v>
      </c>
      <c r="AD45" s="62">
        <v>12760.278</v>
      </c>
      <c r="AE45" s="62">
        <f t="shared" ref="AE45:AE50" si="78">G45</f>
        <v>16718</v>
      </c>
      <c r="AF45" s="10">
        <v>13744.587</v>
      </c>
      <c r="AG45" s="10">
        <v>15701</v>
      </c>
      <c r="AH45" s="10">
        <v>18714</v>
      </c>
      <c r="AI45" s="10">
        <f t="shared" ref="AI45:AI50" si="79">H45</f>
        <v>25215</v>
      </c>
      <c r="AJ45" s="10">
        <v>16398.736000000001</v>
      </c>
      <c r="AK45" s="10">
        <v>18597</v>
      </c>
      <c r="AL45" s="10">
        <v>21661.564999999999</v>
      </c>
      <c r="AM45" s="10">
        <f t="shared" ref="AM45:AM50" si="80">I45</f>
        <v>24388</v>
      </c>
      <c r="AN45" s="10">
        <v>17733.518</v>
      </c>
      <c r="AO45" s="10">
        <v>22858.446</v>
      </c>
      <c r="AP45" s="62">
        <v>24379.822</v>
      </c>
      <c r="AQ45" s="10">
        <f t="shared" ref="AQ45:AQ50" si="81">J45</f>
        <v>29747</v>
      </c>
      <c r="AR45" s="10">
        <v>21442.257000000001</v>
      </c>
      <c r="AS45" s="10">
        <v>24622.421999999999</v>
      </c>
      <c r="AT45" s="62">
        <v>26452</v>
      </c>
      <c r="AU45" s="62">
        <f t="shared" ref="AU45:AU51" si="82">K45</f>
        <v>32911</v>
      </c>
      <c r="AW45" s="10">
        <v>17733.518</v>
      </c>
      <c r="AX45" s="10">
        <v>22858</v>
      </c>
      <c r="AY45" s="62">
        <v>24379.822</v>
      </c>
      <c r="AZ45" s="10">
        <f t="shared" ref="AZ45:AZ50" si="83">M45</f>
        <v>29747</v>
      </c>
      <c r="BA45" s="10">
        <v>21442.257000000001</v>
      </c>
      <c r="BB45" s="62">
        <v>24622.421999999999</v>
      </c>
      <c r="BC45" s="62">
        <v>26452</v>
      </c>
      <c r="BD45" s="62">
        <f t="shared" ref="BD45:BD51" si="84">N45</f>
        <v>32911</v>
      </c>
    </row>
    <row r="46" spans="2:56" ht="28.8">
      <c r="B46" s="19" t="s">
        <v>80</v>
      </c>
      <c r="C46" s="10"/>
      <c r="D46" s="62">
        <v>1000.0170000000001</v>
      </c>
      <c r="E46" s="62">
        <v>1572.3209999999999</v>
      </c>
      <c r="F46" s="62">
        <v>6228.3090000000002</v>
      </c>
      <c r="G46" s="62">
        <v>12894</v>
      </c>
      <c r="H46" s="62">
        <v>8124</v>
      </c>
      <c r="I46" s="62">
        <v>4635</v>
      </c>
      <c r="J46" s="62">
        <v>12542</v>
      </c>
      <c r="K46" s="62">
        <v>10270</v>
      </c>
      <c r="L46" s="54"/>
      <c r="M46" s="62">
        <v>12542</v>
      </c>
      <c r="N46" s="62">
        <v>10270</v>
      </c>
      <c r="O46" s="13"/>
      <c r="P46" s="62">
        <v>33.857999999999997</v>
      </c>
      <c r="Q46" s="62">
        <v>654.72900000000004</v>
      </c>
      <c r="R46" s="62">
        <v>976.08500000000004</v>
      </c>
      <c r="S46" s="62">
        <f t="shared" si="75"/>
        <v>1000.0170000000001</v>
      </c>
      <c r="T46" s="62">
        <v>1206.7560000000001</v>
      </c>
      <c r="U46" s="62">
        <v>1561.3630000000001</v>
      </c>
      <c r="V46" s="62">
        <v>2362.8789999999999</v>
      </c>
      <c r="W46" s="62">
        <f t="shared" si="76"/>
        <v>1572.3209999999999</v>
      </c>
      <c r="X46" s="62">
        <v>4491.8540000000003</v>
      </c>
      <c r="Y46" s="62">
        <v>5299.6779999999999</v>
      </c>
      <c r="Z46" s="62">
        <v>4204.7030000000004</v>
      </c>
      <c r="AA46" s="62">
        <f t="shared" si="77"/>
        <v>6228.3090000000002</v>
      </c>
      <c r="AB46" s="62">
        <v>8495.3449999999993</v>
      </c>
      <c r="AC46" s="62">
        <v>9275.3279999999995</v>
      </c>
      <c r="AD46" s="62">
        <v>12381.796</v>
      </c>
      <c r="AE46" s="62">
        <f t="shared" si="78"/>
        <v>12894</v>
      </c>
      <c r="AF46" s="10">
        <v>8509.0570000000007</v>
      </c>
      <c r="AG46" s="10">
        <v>8937</v>
      </c>
      <c r="AH46" s="10">
        <v>8737</v>
      </c>
      <c r="AI46" s="10">
        <f t="shared" si="79"/>
        <v>8124</v>
      </c>
      <c r="AJ46" s="10">
        <v>6277.4920000000002</v>
      </c>
      <c r="AK46" s="10">
        <v>8984</v>
      </c>
      <c r="AL46" s="10">
        <v>5025</v>
      </c>
      <c r="AM46" s="10">
        <f t="shared" si="80"/>
        <v>4635</v>
      </c>
      <c r="AN46" s="10">
        <v>9400.7330000000002</v>
      </c>
      <c r="AO46" s="10">
        <v>9128.7420000000002</v>
      </c>
      <c r="AP46" s="62">
        <v>6943.18</v>
      </c>
      <c r="AQ46" s="10">
        <f t="shared" si="81"/>
        <v>12542</v>
      </c>
      <c r="AR46" s="10">
        <v>19225.175999999999</v>
      </c>
      <c r="AS46" s="10">
        <v>21543.687999999998</v>
      </c>
      <c r="AT46" s="62">
        <v>14926</v>
      </c>
      <c r="AU46" s="62">
        <f t="shared" si="82"/>
        <v>10270</v>
      </c>
      <c r="AW46" s="10">
        <v>9400.7330000000002</v>
      </c>
      <c r="AX46" s="10">
        <v>9129</v>
      </c>
      <c r="AY46" s="62">
        <v>6943.18</v>
      </c>
      <c r="AZ46" s="10">
        <f t="shared" si="83"/>
        <v>12542</v>
      </c>
      <c r="BA46" s="10">
        <v>19225.175999999999</v>
      </c>
      <c r="BB46" s="62">
        <v>21543.687999999998</v>
      </c>
      <c r="BC46" s="62">
        <v>14926</v>
      </c>
      <c r="BD46" s="62">
        <f t="shared" si="84"/>
        <v>10270</v>
      </c>
    </row>
    <row r="47" spans="2:56">
      <c r="B47" s="19" t="s">
        <v>72</v>
      </c>
      <c r="C47" s="10"/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54"/>
      <c r="M47" s="62">
        <v>6840</v>
      </c>
      <c r="N47" s="62">
        <v>7145</v>
      </c>
      <c r="O47" s="13"/>
      <c r="P47" s="62">
        <v>0</v>
      </c>
      <c r="Q47" s="62">
        <v>0</v>
      </c>
      <c r="R47" s="62">
        <v>0</v>
      </c>
      <c r="S47" s="62">
        <f t="shared" si="75"/>
        <v>0</v>
      </c>
      <c r="T47" s="62">
        <v>0</v>
      </c>
      <c r="U47" s="62">
        <v>0</v>
      </c>
      <c r="V47" s="62">
        <v>0</v>
      </c>
      <c r="W47" s="62">
        <f t="shared" si="76"/>
        <v>0</v>
      </c>
      <c r="X47" s="62">
        <v>0</v>
      </c>
      <c r="Y47" s="62">
        <v>0</v>
      </c>
      <c r="Z47" s="62">
        <v>0</v>
      </c>
      <c r="AA47" s="62">
        <f t="shared" si="77"/>
        <v>0</v>
      </c>
      <c r="AB47" s="62">
        <v>0</v>
      </c>
      <c r="AC47" s="62">
        <v>0</v>
      </c>
      <c r="AD47" s="62">
        <v>0</v>
      </c>
      <c r="AE47" s="62">
        <f t="shared" si="78"/>
        <v>0</v>
      </c>
      <c r="AF47" s="10">
        <v>0</v>
      </c>
      <c r="AG47" s="10">
        <v>0</v>
      </c>
      <c r="AH47" s="10">
        <v>0</v>
      </c>
      <c r="AI47" s="10">
        <f t="shared" si="79"/>
        <v>0</v>
      </c>
      <c r="AJ47" s="10">
        <v>0</v>
      </c>
      <c r="AK47" s="10">
        <v>0</v>
      </c>
      <c r="AL47" s="10">
        <v>0</v>
      </c>
      <c r="AM47" s="10">
        <f t="shared" si="80"/>
        <v>0</v>
      </c>
      <c r="AN47" s="10">
        <v>0</v>
      </c>
      <c r="AO47" s="10">
        <v>0</v>
      </c>
      <c r="AP47" s="62">
        <v>0</v>
      </c>
      <c r="AQ47" s="10">
        <f t="shared" si="81"/>
        <v>0</v>
      </c>
      <c r="AR47" s="10">
        <v>0</v>
      </c>
      <c r="AS47" s="10">
        <v>0</v>
      </c>
      <c r="AT47" s="10">
        <v>0</v>
      </c>
      <c r="AU47" s="10">
        <f t="shared" si="82"/>
        <v>0</v>
      </c>
      <c r="AW47" s="10">
        <v>4903.93</v>
      </c>
      <c r="AX47" s="10">
        <v>4552</v>
      </c>
      <c r="AY47" s="62">
        <v>6147.3370000000004</v>
      </c>
      <c r="AZ47" s="10">
        <f t="shared" si="83"/>
        <v>6840</v>
      </c>
      <c r="BA47" s="10">
        <v>6973.3059999999996</v>
      </c>
      <c r="BB47" s="62">
        <v>6339</v>
      </c>
      <c r="BC47" s="62">
        <v>6436</v>
      </c>
      <c r="BD47" s="62">
        <f t="shared" si="84"/>
        <v>7145</v>
      </c>
    </row>
    <row r="48" spans="2:56">
      <c r="B48" s="19" t="s">
        <v>75</v>
      </c>
      <c r="C48" s="10"/>
      <c r="D48" s="62">
        <v>1492.537</v>
      </c>
      <c r="E48" s="62">
        <v>2343.0279999999998</v>
      </c>
      <c r="F48" s="62">
        <v>3452.3589999999999</v>
      </c>
      <c r="G48" s="62">
        <v>2952</v>
      </c>
      <c r="H48" s="62">
        <v>3834</v>
      </c>
      <c r="I48" s="62">
        <v>5404</v>
      </c>
      <c r="J48" s="62">
        <v>5094</v>
      </c>
      <c r="K48" s="62">
        <v>6204</v>
      </c>
      <c r="L48" s="54"/>
      <c r="M48" s="62">
        <v>4938</v>
      </c>
      <c r="N48" s="62">
        <v>6042</v>
      </c>
      <c r="O48" s="13"/>
      <c r="P48" s="62">
        <v>1095.213</v>
      </c>
      <c r="Q48" s="62">
        <v>1131.5250000000001</v>
      </c>
      <c r="R48" s="62">
        <v>1448.107</v>
      </c>
      <c r="S48" s="62">
        <f t="shared" si="75"/>
        <v>1492.537</v>
      </c>
      <c r="T48" s="62">
        <v>1634.13</v>
      </c>
      <c r="U48" s="62">
        <v>2056.085</v>
      </c>
      <c r="V48" s="62">
        <v>1886.165</v>
      </c>
      <c r="W48" s="62">
        <f t="shared" si="76"/>
        <v>2343.0279999999998</v>
      </c>
      <c r="X48" s="62">
        <v>1819.3989999999999</v>
      </c>
      <c r="Y48" s="62">
        <v>2169.5709999999999</v>
      </c>
      <c r="Z48" s="62">
        <v>1893.7429999999999</v>
      </c>
      <c r="AA48" s="62">
        <f t="shared" si="77"/>
        <v>3452.3589999999999</v>
      </c>
      <c r="AB48" s="62">
        <v>4455.5039999999999</v>
      </c>
      <c r="AC48" s="62">
        <v>3833.808</v>
      </c>
      <c r="AD48" s="62">
        <v>3510.1930000000002</v>
      </c>
      <c r="AE48" s="62">
        <f t="shared" si="78"/>
        <v>2952</v>
      </c>
      <c r="AF48" s="10">
        <v>3496.2429999999999</v>
      </c>
      <c r="AG48" s="10">
        <v>4426</v>
      </c>
      <c r="AH48" s="10">
        <v>3642</v>
      </c>
      <c r="AI48" s="10">
        <f t="shared" si="79"/>
        <v>3834</v>
      </c>
      <c r="AJ48" s="10">
        <v>4368.4920000000002</v>
      </c>
      <c r="AK48" s="10">
        <v>6471</v>
      </c>
      <c r="AL48" s="10">
        <v>4863.7719999999999</v>
      </c>
      <c r="AM48" s="10">
        <f t="shared" si="80"/>
        <v>5404</v>
      </c>
      <c r="AN48" s="10">
        <v>5639.7650000000003</v>
      </c>
      <c r="AO48" s="10">
        <f>5367.566-AO49-AO50</f>
        <v>4570.5659999999998</v>
      </c>
      <c r="AP48" s="62">
        <f>3620.69+236.739</f>
        <v>3857.4290000000001</v>
      </c>
      <c r="AQ48" s="10">
        <f t="shared" si="81"/>
        <v>5094</v>
      </c>
      <c r="AR48" s="10">
        <v>5752.7839999999997</v>
      </c>
      <c r="AS48" s="10">
        <v>4993</v>
      </c>
      <c r="AT48" s="62">
        <f>4904.691-AT49-AT50</f>
        <v>4360.6909999999998</v>
      </c>
      <c r="AU48" s="62">
        <f t="shared" si="82"/>
        <v>6204</v>
      </c>
      <c r="AW48" s="10">
        <v>5639.7650000000003</v>
      </c>
      <c r="AX48" s="10">
        <v>3407</v>
      </c>
      <c r="AY48" s="62">
        <v>3822.6010000000001</v>
      </c>
      <c r="AZ48" s="10">
        <f t="shared" si="83"/>
        <v>4938</v>
      </c>
      <c r="BA48" s="10">
        <v>5682.4639999999999</v>
      </c>
      <c r="BB48" s="62">
        <v>4829</v>
      </c>
      <c r="BC48" s="62">
        <v>4175</v>
      </c>
      <c r="BD48" s="62">
        <f t="shared" si="84"/>
        <v>6042</v>
      </c>
    </row>
    <row r="49" spans="2:56">
      <c r="B49" s="19" t="s">
        <v>76</v>
      </c>
      <c r="C49" s="10"/>
      <c r="D49" s="62">
        <v>0</v>
      </c>
      <c r="E49" s="62">
        <v>0</v>
      </c>
      <c r="F49" s="62">
        <v>0</v>
      </c>
      <c r="G49" s="62">
        <v>278</v>
      </c>
      <c r="H49" s="62">
        <v>816</v>
      </c>
      <c r="I49" s="62">
        <v>606</v>
      </c>
      <c r="J49" s="62">
        <v>720</v>
      </c>
      <c r="K49" s="62">
        <v>436</v>
      </c>
      <c r="L49" s="54"/>
      <c r="M49" s="62">
        <v>720</v>
      </c>
      <c r="N49" s="62">
        <v>436</v>
      </c>
      <c r="O49" s="13"/>
      <c r="P49" s="62">
        <v>0</v>
      </c>
      <c r="Q49" s="62">
        <v>0</v>
      </c>
      <c r="R49" s="62">
        <v>0</v>
      </c>
      <c r="S49" s="62">
        <f t="shared" si="75"/>
        <v>0</v>
      </c>
      <c r="T49" s="62">
        <v>0</v>
      </c>
      <c r="U49" s="62">
        <v>0</v>
      </c>
      <c r="V49" s="62">
        <v>0</v>
      </c>
      <c r="W49" s="62">
        <f t="shared" si="76"/>
        <v>0</v>
      </c>
      <c r="X49" s="62">
        <v>0</v>
      </c>
      <c r="Y49" s="62">
        <v>0</v>
      </c>
      <c r="Z49" s="62">
        <v>0</v>
      </c>
      <c r="AA49" s="62">
        <f t="shared" si="77"/>
        <v>0</v>
      </c>
      <c r="AB49" s="62">
        <v>0</v>
      </c>
      <c r="AC49" s="62">
        <v>0</v>
      </c>
      <c r="AD49" s="62">
        <v>0</v>
      </c>
      <c r="AE49" s="62">
        <f t="shared" si="78"/>
        <v>278</v>
      </c>
      <c r="AF49" s="10">
        <v>0</v>
      </c>
      <c r="AG49" s="10">
        <v>362</v>
      </c>
      <c r="AH49" s="62">
        <v>473</v>
      </c>
      <c r="AI49" s="10">
        <f t="shared" si="79"/>
        <v>816</v>
      </c>
      <c r="AJ49" s="10">
        <v>0</v>
      </c>
      <c r="AK49" s="10">
        <v>327</v>
      </c>
      <c r="AL49" s="10">
        <v>0</v>
      </c>
      <c r="AM49" s="10">
        <f t="shared" si="80"/>
        <v>606</v>
      </c>
      <c r="AN49" s="10">
        <v>0</v>
      </c>
      <c r="AO49" s="62">
        <f>AX49</f>
        <v>670</v>
      </c>
      <c r="AP49" s="62">
        <v>0</v>
      </c>
      <c r="AQ49" s="10">
        <f t="shared" si="81"/>
        <v>720</v>
      </c>
      <c r="AR49" s="10">
        <v>0</v>
      </c>
      <c r="AS49" s="62">
        <v>469</v>
      </c>
      <c r="AT49" s="62">
        <v>524</v>
      </c>
      <c r="AU49" s="62">
        <f t="shared" si="82"/>
        <v>436</v>
      </c>
      <c r="AW49" s="10">
        <v>0</v>
      </c>
      <c r="AX49" s="10">
        <v>670</v>
      </c>
      <c r="AY49" s="62">
        <v>0</v>
      </c>
      <c r="AZ49" s="10">
        <f t="shared" si="83"/>
        <v>720</v>
      </c>
      <c r="BA49" s="10">
        <v>0</v>
      </c>
      <c r="BB49" s="62">
        <v>469</v>
      </c>
      <c r="BC49" s="62">
        <v>524</v>
      </c>
      <c r="BD49" s="62">
        <f t="shared" si="84"/>
        <v>436</v>
      </c>
    </row>
    <row r="50" spans="2:56">
      <c r="B50" s="20" t="s">
        <v>77</v>
      </c>
      <c r="C50" s="11"/>
      <c r="D50" s="58">
        <v>0</v>
      </c>
      <c r="E50" s="58">
        <v>0</v>
      </c>
      <c r="F50" s="58">
        <v>0</v>
      </c>
      <c r="G50" s="58">
        <v>429</v>
      </c>
      <c r="H50" s="58">
        <v>611</v>
      </c>
      <c r="I50" s="58">
        <v>247</v>
      </c>
      <c r="J50" s="58">
        <v>357</v>
      </c>
      <c r="K50" s="58">
        <v>805</v>
      </c>
      <c r="L50" s="54"/>
      <c r="M50" s="58">
        <v>357</v>
      </c>
      <c r="N50" s="58">
        <v>805</v>
      </c>
      <c r="O50" s="13"/>
      <c r="P50" s="58">
        <v>0</v>
      </c>
      <c r="Q50" s="58">
        <v>0</v>
      </c>
      <c r="R50" s="58">
        <v>0</v>
      </c>
      <c r="S50" s="58">
        <f t="shared" si="75"/>
        <v>0</v>
      </c>
      <c r="T50" s="58">
        <v>0</v>
      </c>
      <c r="U50" s="58">
        <v>0</v>
      </c>
      <c r="V50" s="58">
        <v>0</v>
      </c>
      <c r="W50" s="58">
        <f t="shared" si="76"/>
        <v>0</v>
      </c>
      <c r="X50" s="58">
        <v>0</v>
      </c>
      <c r="Y50" s="58">
        <v>0</v>
      </c>
      <c r="Z50" s="58">
        <v>0</v>
      </c>
      <c r="AA50" s="58">
        <f t="shared" si="77"/>
        <v>0</v>
      </c>
      <c r="AB50" s="58">
        <v>0</v>
      </c>
      <c r="AC50" s="58">
        <v>0</v>
      </c>
      <c r="AD50" s="58">
        <v>0</v>
      </c>
      <c r="AE50" s="58">
        <f t="shared" si="78"/>
        <v>429</v>
      </c>
      <c r="AF50" s="11">
        <v>0</v>
      </c>
      <c r="AG50" s="11">
        <v>114</v>
      </c>
      <c r="AH50" s="58">
        <v>104</v>
      </c>
      <c r="AI50" s="11">
        <f t="shared" si="79"/>
        <v>611</v>
      </c>
      <c r="AJ50" s="11">
        <v>0</v>
      </c>
      <c r="AK50" s="11">
        <v>67</v>
      </c>
      <c r="AL50" s="11">
        <v>0</v>
      </c>
      <c r="AM50" s="11">
        <f t="shared" si="80"/>
        <v>247</v>
      </c>
      <c r="AN50" s="11">
        <v>0</v>
      </c>
      <c r="AO50" s="58">
        <f>AX50</f>
        <v>127</v>
      </c>
      <c r="AP50" s="58">
        <v>0</v>
      </c>
      <c r="AQ50" s="11">
        <f t="shared" si="81"/>
        <v>357</v>
      </c>
      <c r="AR50" s="11">
        <v>0</v>
      </c>
      <c r="AS50" s="58">
        <v>12</v>
      </c>
      <c r="AT50" s="58">
        <v>20</v>
      </c>
      <c r="AU50" s="58">
        <f t="shared" si="82"/>
        <v>805</v>
      </c>
      <c r="AW50" s="11">
        <v>0</v>
      </c>
      <c r="AX50" s="11">
        <v>127</v>
      </c>
      <c r="AY50" s="58">
        <v>0</v>
      </c>
      <c r="AZ50" s="11">
        <f t="shared" si="83"/>
        <v>357</v>
      </c>
      <c r="BA50" s="11">
        <v>0</v>
      </c>
      <c r="BB50" s="58">
        <v>12</v>
      </c>
      <c r="BC50" s="58">
        <v>20</v>
      </c>
      <c r="BD50" s="58">
        <f t="shared" si="84"/>
        <v>805</v>
      </c>
    </row>
    <row r="51" spans="2:56">
      <c r="B51" s="18" t="s">
        <v>60</v>
      </c>
      <c r="C51" s="8"/>
      <c r="D51" s="8">
        <f>SUM(D45:D50)</f>
        <v>9036.0169999999998</v>
      </c>
      <c r="E51" s="63">
        <f t="shared" ref="E51:J51" si="85">SUM(E45:E50)</f>
        <v>12042.19</v>
      </c>
      <c r="F51" s="63">
        <f>SUM(F45:F50)</f>
        <v>19774.883000000002</v>
      </c>
      <c r="G51" s="63">
        <f t="shared" si="85"/>
        <v>33271</v>
      </c>
      <c r="H51" s="63">
        <f t="shared" si="85"/>
        <v>38600</v>
      </c>
      <c r="I51" s="63">
        <f t="shared" si="85"/>
        <v>35280</v>
      </c>
      <c r="J51" s="63">
        <f t="shared" si="85"/>
        <v>48460</v>
      </c>
      <c r="K51" s="63">
        <f t="shared" ref="K51" si="86">SUM(K45:K50)</f>
        <v>50626</v>
      </c>
      <c r="L51" s="54"/>
      <c r="M51" s="63">
        <f>SUM(M45:M50)</f>
        <v>55144</v>
      </c>
      <c r="N51" s="63">
        <f t="shared" ref="N51" si="87">SUM(N45:N50)</f>
        <v>57609</v>
      </c>
      <c r="O51" s="13"/>
      <c r="P51" s="8">
        <f t="shared" ref="P51:Q51" si="88">SUM(P45:P50)</f>
        <v>5441.3589999999995</v>
      </c>
      <c r="Q51" s="63">
        <f t="shared" si="88"/>
        <v>6818.1229999999996</v>
      </c>
      <c r="R51" s="63">
        <f t="shared" ref="R51:S51" si="89">SUM(R45:R50)</f>
        <v>8450.23</v>
      </c>
      <c r="S51" s="63">
        <f t="shared" si="89"/>
        <v>9036.0169999999998</v>
      </c>
      <c r="T51" s="63">
        <f t="shared" ref="T51:U51" si="90">SUM(T45:T50)</f>
        <v>8401.527</v>
      </c>
      <c r="U51" s="63">
        <f t="shared" si="90"/>
        <v>10762.008000000002</v>
      </c>
      <c r="V51" s="63">
        <f>SUM(V45:V50)</f>
        <v>11789.536</v>
      </c>
      <c r="W51" s="63">
        <f t="shared" ref="W51:AE51" si="91">SUM(W45:W50)</f>
        <v>12042.19</v>
      </c>
      <c r="X51" s="63">
        <f t="shared" si="91"/>
        <v>13200.145999999999</v>
      </c>
      <c r="Y51" s="63">
        <f t="shared" si="91"/>
        <v>14670.976999999999</v>
      </c>
      <c r="Z51" s="63">
        <f t="shared" si="91"/>
        <v>15256.861999999999</v>
      </c>
      <c r="AA51" s="63">
        <f t="shared" si="91"/>
        <v>19774.883000000002</v>
      </c>
      <c r="AB51" s="63">
        <f t="shared" si="91"/>
        <v>23353.942999999999</v>
      </c>
      <c r="AC51" s="63">
        <f t="shared" si="91"/>
        <v>23165.649000000001</v>
      </c>
      <c r="AD51" s="63">
        <f t="shared" si="91"/>
        <v>28652.267</v>
      </c>
      <c r="AE51" s="63">
        <f t="shared" si="91"/>
        <v>33271</v>
      </c>
      <c r="AF51" s="8">
        <f t="shared" ref="AF51:AR51" si="92">SUM(AF45:AF50)</f>
        <v>25749.886999999999</v>
      </c>
      <c r="AG51" s="8">
        <f t="shared" si="92"/>
        <v>29540</v>
      </c>
      <c r="AH51" s="8">
        <f t="shared" si="92"/>
        <v>31670</v>
      </c>
      <c r="AI51" s="8">
        <f t="shared" si="92"/>
        <v>38600</v>
      </c>
      <c r="AJ51" s="8">
        <f t="shared" si="92"/>
        <v>27044.720000000001</v>
      </c>
      <c r="AK51" s="8">
        <f t="shared" si="92"/>
        <v>34446</v>
      </c>
      <c r="AL51" s="8">
        <f t="shared" si="92"/>
        <v>31550.337</v>
      </c>
      <c r="AM51" s="8">
        <f t="shared" si="92"/>
        <v>35280</v>
      </c>
      <c r="AN51" s="8">
        <f t="shared" si="92"/>
        <v>32774.016000000003</v>
      </c>
      <c r="AO51" s="8">
        <f t="shared" si="92"/>
        <v>37354.754000000001</v>
      </c>
      <c r="AP51" s="63">
        <f t="shared" si="92"/>
        <v>35180.430999999997</v>
      </c>
      <c r="AQ51" s="8">
        <f t="shared" si="92"/>
        <v>48460</v>
      </c>
      <c r="AR51" s="8">
        <f t="shared" si="92"/>
        <v>46420.217000000004</v>
      </c>
      <c r="AS51" s="8">
        <f t="shared" ref="AS51:AT51" si="93">SUM(AS45:AS50)</f>
        <v>51640.11</v>
      </c>
      <c r="AT51" s="63">
        <f t="shared" si="93"/>
        <v>46282.690999999999</v>
      </c>
      <c r="AU51" s="63">
        <f t="shared" si="82"/>
        <v>50626</v>
      </c>
      <c r="AW51" s="8">
        <f t="shared" ref="AW51:BA51" si="94">SUM(AW45:AW50)</f>
        <v>37677.946000000004</v>
      </c>
      <c r="AX51" s="8">
        <f t="shared" si="94"/>
        <v>40743</v>
      </c>
      <c r="AY51" s="63">
        <f t="shared" si="94"/>
        <v>41292.94</v>
      </c>
      <c r="AZ51" s="8">
        <f t="shared" si="94"/>
        <v>55144</v>
      </c>
      <c r="BA51" s="8">
        <f t="shared" si="94"/>
        <v>53323.203000000001</v>
      </c>
      <c r="BB51" s="63">
        <f t="shared" ref="BB51:BC51" si="95">SUM(BB45:BB50)</f>
        <v>57815.11</v>
      </c>
      <c r="BC51" s="63">
        <f t="shared" si="95"/>
        <v>52533</v>
      </c>
      <c r="BD51" s="63">
        <f t="shared" si="84"/>
        <v>57609</v>
      </c>
    </row>
    <row r="52" spans="2:56">
      <c r="B52" s="20"/>
      <c r="C52" s="11"/>
      <c r="D52" s="58"/>
      <c r="E52" s="58"/>
      <c r="F52" s="58"/>
      <c r="G52" s="58"/>
      <c r="H52" s="58"/>
      <c r="I52" s="58"/>
      <c r="J52" s="58"/>
      <c r="K52" s="58"/>
      <c r="L52" s="54"/>
      <c r="M52" s="58"/>
      <c r="N52" s="58"/>
      <c r="O52" s="13"/>
      <c r="P52" s="11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58"/>
      <c r="AQ52" s="11"/>
      <c r="AR52" s="11"/>
      <c r="AS52" s="11"/>
      <c r="AT52" s="58"/>
      <c r="AU52" s="58"/>
      <c r="AW52" s="11"/>
      <c r="AX52" s="11"/>
      <c r="AY52" s="58"/>
      <c r="AZ52" s="11"/>
      <c r="BA52" s="11"/>
      <c r="BB52" s="58"/>
      <c r="BC52" s="58"/>
      <c r="BD52" s="58"/>
    </row>
    <row r="53" spans="2:56">
      <c r="B53" s="18" t="s">
        <v>78</v>
      </c>
      <c r="C53" s="8"/>
      <c r="D53" s="8">
        <f t="shared" ref="D53:J53" si="96">D51+D43</f>
        <v>11063.921</v>
      </c>
      <c r="E53" s="63">
        <f t="shared" si="96"/>
        <v>16480.834000000003</v>
      </c>
      <c r="F53" s="63">
        <f t="shared" si="96"/>
        <v>23297.547000000002</v>
      </c>
      <c r="G53" s="63">
        <f t="shared" si="96"/>
        <v>38799</v>
      </c>
      <c r="H53" s="63">
        <f t="shared" si="96"/>
        <v>45183</v>
      </c>
      <c r="I53" s="63">
        <f t="shared" si="96"/>
        <v>44265</v>
      </c>
      <c r="J53" s="63">
        <f t="shared" si="96"/>
        <v>57540</v>
      </c>
      <c r="K53" s="63">
        <f t="shared" ref="K53" si="97">K51+K43</f>
        <v>59710</v>
      </c>
      <c r="L53" s="54"/>
      <c r="M53" s="63">
        <f>M51+M43</f>
        <v>87930</v>
      </c>
      <c r="N53" s="63">
        <f t="shared" ref="N53" si="98">N51+N43</f>
        <v>94328</v>
      </c>
      <c r="O53" s="13"/>
      <c r="P53" s="8">
        <f t="shared" ref="P53:Q53" si="99">P51+P43</f>
        <v>9327</v>
      </c>
      <c r="Q53" s="63">
        <f t="shared" si="99"/>
        <v>10064.629999999999</v>
      </c>
      <c r="R53" s="63">
        <f t="shared" ref="R53:S53" si="100">R51+R43</f>
        <v>11772.109</v>
      </c>
      <c r="S53" s="63">
        <f t="shared" si="100"/>
        <v>11063.921</v>
      </c>
      <c r="T53" s="63">
        <f t="shared" ref="T53:U53" si="101">T51+T43</f>
        <v>10498.218000000001</v>
      </c>
      <c r="U53" s="63">
        <f t="shared" si="101"/>
        <v>11946.288000000002</v>
      </c>
      <c r="V53" s="63">
        <f t="shared" ref="V53:W53" si="102">V51+V43</f>
        <v>16188.547999999999</v>
      </c>
      <c r="W53" s="63">
        <f t="shared" si="102"/>
        <v>16480.834000000003</v>
      </c>
      <c r="X53" s="63">
        <f>X51+X43</f>
        <v>17576.742999999999</v>
      </c>
      <c r="Y53" s="63">
        <f t="shared" ref="Y53" si="103">Y51+Y43</f>
        <v>17963.101999999999</v>
      </c>
      <c r="Z53" s="63">
        <f t="shared" ref="Z53:AA53" si="104">Z51+Z43</f>
        <v>18569.764999999999</v>
      </c>
      <c r="AA53" s="63">
        <f t="shared" si="104"/>
        <v>23297.547000000002</v>
      </c>
      <c r="AB53" s="63">
        <f t="shared" ref="AB53:AE53" si="105">AB51+AB43</f>
        <v>26875.605</v>
      </c>
      <c r="AC53" s="63">
        <f t="shared" si="105"/>
        <v>27509.836000000003</v>
      </c>
      <c r="AD53" s="63">
        <f t="shared" si="105"/>
        <v>34695.948000000004</v>
      </c>
      <c r="AE53" s="63">
        <f t="shared" si="105"/>
        <v>38799</v>
      </c>
      <c r="AF53" s="8">
        <f t="shared" ref="AF53:AN53" si="106">AF51+AF43</f>
        <v>30885.924999999999</v>
      </c>
      <c r="AG53" s="8">
        <f t="shared" si="106"/>
        <v>34247</v>
      </c>
      <c r="AH53" s="8">
        <f t="shared" si="106"/>
        <v>35967</v>
      </c>
      <c r="AI53" s="8">
        <f t="shared" si="106"/>
        <v>45183</v>
      </c>
      <c r="AJ53" s="8">
        <f t="shared" si="106"/>
        <v>37165.587</v>
      </c>
      <c r="AK53" s="8">
        <f t="shared" si="106"/>
        <v>41230</v>
      </c>
      <c r="AL53" s="8">
        <f t="shared" si="106"/>
        <v>41634.881000000001</v>
      </c>
      <c r="AM53" s="8">
        <f t="shared" si="106"/>
        <v>44265</v>
      </c>
      <c r="AN53" s="8">
        <f t="shared" si="106"/>
        <v>40671.100000000006</v>
      </c>
      <c r="AO53" s="8">
        <f t="shared" ref="AO53:AP53" si="107">AO51+AO43</f>
        <v>47947.180999999997</v>
      </c>
      <c r="AP53" s="63">
        <f t="shared" si="107"/>
        <v>45936.244999999995</v>
      </c>
      <c r="AQ53" s="8">
        <f t="shared" ref="AQ53:AR53" si="108">AQ51+AQ43</f>
        <v>57540</v>
      </c>
      <c r="AR53" s="8">
        <f t="shared" si="108"/>
        <v>51762.974000000002</v>
      </c>
      <c r="AS53" s="8">
        <f t="shared" ref="AS53:AT53" si="109">AS51+AS43</f>
        <v>57707.911999999997</v>
      </c>
      <c r="AT53" s="63">
        <f t="shared" si="109"/>
        <v>52362.690999999999</v>
      </c>
      <c r="AU53" s="63">
        <f>K53</f>
        <v>59710</v>
      </c>
      <c r="AW53" s="8">
        <f t="shared" ref="AW53" si="110">AW51+AW43</f>
        <v>71267.853000000003</v>
      </c>
      <c r="AX53" s="8">
        <f t="shared" ref="AX53:AY53" si="111">AX51+AX43</f>
        <v>79516</v>
      </c>
      <c r="AY53" s="63">
        <f t="shared" si="111"/>
        <v>76053.787000000011</v>
      </c>
      <c r="AZ53" s="8">
        <f t="shared" ref="AZ53:BA53" si="112">AZ51+AZ43</f>
        <v>87930</v>
      </c>
      <c r="BA53" s="8">
        <f t="shared" si="112"/>
        <v>84904.108999999997</v>
      </c>
      <c r="BB53" s="63">
        <f t="shared" ref="BB53:BC53" si="113">BB51+BB43</f>
        <v>88933.911999999997</v>
      </c>
      <c r="BC53" s="63">
        <f t="shared" si="113"/>
        <v>83887</v>
      </c>
      <c r="BD53" s="63">
        <f>N53</f>
        <v>94328</v>
      </c>
    </row>
    <row r="54" spans="2:56">
      <c r="B54" s="20"/>
      <c r="C54" s="11"/>
      <c r="D54" s="58"/>
      <c r="E54" s="58"/>
      <c r="F54" s="58"/>
      <c r="G54" s="11"/>
      <c r="H54" s="11"/>
      <c r="I54" s="11"/>
      <c r="J54" s="11"/>
      <c r="K54" s="11"/>
      <c r="M54" s="11"/>
      <c r="N54" s="11"/>
      <c r="O54" s="13"/>
      <c r="P54" s="11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58"/>
      <c r="AQ54" s="11"/>
      <c r="AR54" s="11"/>
      <c r="AS54" s="11"/>
      <c r="AT54" s="58"/>
      <c r="AU54" s="58"/>
      <c r="AW54" s="11"/>
      <c r="AX54" s="11"/>
      <c r="AY54" s="58"/>
      <c r="AZ54" s="11"/>
      <c r="BA54" s="11"/>
      <c r="BB54" s="58"/>
      <c r="BC54" s="58"/>
      <c r="BD54" s="58"/>
    </row>
    <row r="55" spans="2:56">
      <c r="B55" s="18" t="s">
        <v>79</v>
      </c>
      <c r="C55" s="8"/>
      <c r="D55" s="8">
        <f>D53+D36</f>
        <v>12776.81101691115</v>
      </c>
      <c r="E55" s="8">
        <f t="shared" ref="E55:J55" si="114">E53+E36</f>
        <v>14383.488855076663</v>
      </c>
      <c r="F55" s="63">
        <f>F53+F36</f>
        <v>25944.467231630173</v>
      </c>
      <c r="G55" s="8">
        <f t="shared" si="114"/>
        <v>39194</v>
      </c>
      <c r="H55" s="8">
        <f t="shared" si="114"/>
        <v>44729</v>
      </c>
      <c r="I55" s="8">
        <f t="shared" si="114"/>
        <v>43743</v>
      </c>
      <c r="J55" s="8">
        <f t="shared" si="114"/>
        <v>57538</v>
      </c>
      <c r="K55" s="8">
        <f t="shared" ref="K55" si="115">K53+K36</f>
        <v>59680</v>
      </c>
      <c r="M55" s="8">
        <f>M53+M36</f>
        <v>86988</v>
      </c>
      <c r="N55" s="8">
        <f t="shared" ref="N55" si="116">N53+N36</f>
        <v>92661</v>
      </c>
      <c r="O55" s="13"/>
      <c r="P55" s="8">
        <f t="shared" ref="P55:Q55" si="117">P53+P36</f>
        <v>9975.1796559054201</v>
      </c>
      <c r="Q55" s="63">
        <f t="shared" si="117"/>
        <v>10453.8931338156</v>
      </c>
      <c r="R55" s="63">
        <f t="shared" ref="R55:S55" si="118">R53+R36</f>
        <v>12519.158635652411</v>
      </c>
      <c r="S55" s="63">
        <f t="shared" si="118"/>
        <v>12776.81101691115</v>
      </c>
      <c r="T55" s="63">
        <f t="shared" ref="T55:U55" si="119">T53+T36</f>
        <v>11614.966043079072</v>
      </c>
      <c r="U55" s="63">
        <f t="shared" si="119"/>
        <v>12668.427717573024</v>
      </c>
      <c r="V55" s="63">
        <f t="shared" ref="V55:X55" si="120">V53+V36</f>
        <v>12976.31803149054</v>
      </c>
      <c r="W55" s="63">
        <f t="shared" si="120"/>
        <v>14383.488855076663</v>
      </c>
      <c r="X55" s="63">
        <f t="shared" si="120"/>
        <v>15049.199581023589</v>
      </c>
      <c r="Y55" s="63">
        <f t="shared" ref="Y55:Z55" si="121">Y53+Y36</f>
        <v>14920.29964314312</v>
      </c>
      <c r="Z55" s="63">
        <f t="shared" si="121"/>
        <v>16455.28187658867</v>
      </c>
      <c r="AA55" s="63">
        <f t="shared" ref="AA55:AB55" si="122">AA53+AA36</f>
        <v>25944.467231630173</v>
      </c>
      <c r="AB55" s="63">
        <f t="shared" si="122"/>
        <v>29557.883770316628</v>
      </c>
      <c r="AC55" s="63">
        <f t="shared" ref="AC55:AE55" si="123">AC53+AC36</f>
        <v>29698.320250986992</v>
      </c>
      <c r="AD55" s="63">
        <f t="shared" si="123"/>
        <v>37177.506333777674</v>
      </c>
      <c r="AE55" s="63">
        <f t="shared" si="123"/>
        <v>39194</v>
      </c>
      <c r="AF55" s="8">
        <f t="shared" ref="AF55:AN55" si="124">AF53+AF36</f>
        <v>31360.924999999999</v>
      </c>
      <c r="AG55" s="8">
        <f t="shared" si="124"/>
        <v>33724</v>
      </c>
      <c r="AH55" s="8">
        <f t="shared" si="124"/>
        <v>36468</v>
      </c>
      <c r="AI55" s="8">
        <f t="shared" si="124"/>
        <v>44729</v>
      </c>
      <c r="AJ55" s="8">
        <f t="shared" si="124"/>
        <v>36642.587</v>
      </c>
      <c r="AK55" s="8">
        <f t="shared" si="124"/>
        <v>39026</v>
      </c>
      <c r="AL55" s="8">
        <f t="shared" si="124"/>
        <v>40918.881000000001</v>
      </c>
      <c r="AM55" s="8">
        <f t="shared" si="124"/>
        <v>43743</v>
      </c>
      <c r="AN55" s="8">
        <f t="shared" si="124"/>
        <v>40523.100000000006</v>
      </c>
      <c r="AO55" s="8">
        <f t="shared" ref="AO55:AP55" si="125">AO53+AO36</f>
        <v>46503.020785418645</v>
      </c>
      <c r="AP55" s="63">
        <f t="shared" si="125"/>
        <v>46613.398999999998</v>
      </c>
      <c r="AQ55" s="8">
        <f t="shared" ref="AQ55:AR55" si="126">AQ53+AQ36</f>
        <v>57538</v>
      </c>
      <c r="AR55" s="8">
        <f t="shared" si="126"/>
        <v>52010.060000000005</v>
      </c>
      <c r="AS55" s="8">
        <f t="shared" ref="AS55:AT55" si="127">AS53+AS36</f>
        <v>56684.107999999993</v>
      </c>
      <c r="AT55" s="63">
        <f t="shared" si="127"/>
        <v>53788.595000000001</v>
      </c>
      <c r="AU55" s="63">
        <f>K55</f>
        <v>59680</v>
      </c>
      <c r="AW55" s="8">
        <f t="shared" ref="AW55" si="128">AW53+AW36</f>
        <v>71016.138999999996</v>
      </c>
      <c r="AX55" s="8">
        <f t="shared" ref="AX55:AY55" si="129">AX53+AX36</f>
        <v>77193</v>
      </c>
      <c r="AY55" s="63">
        <f t="shared" si="129"/>
        <v>76097.13900000001</v>
      </c>
      <c r="AZ55" s="8">
        <f t="shared" ref="AZ55:BA55" si="130">AZ53+AZ36</f>
        <v>86988</v>
      </c>
      <c r="BA55" s="8">
        <f t="shared" si="130"/>
        <v>83799.201000000001</v>
      </c>
      <c r="BB55" s="63">
        <f t="shared" ref="BB55:BC55" si="131">BB53+BB36</f>
        <v>86745.107999999993</v>
      </c>
      <c r="BC55" s="63">
        <f t="shared" si="131"/>
        <v>83936</v>
      </c>
      <c r="BD55" s="63">
        <f>N55</f>
        <v>92661</v>
      </c>
    </row>
    <row r="56" spans="2:56">
      <c r="BC56" s="54"/>
      <c r="BD56" s="54"/>
    </row>
    <row r="57" spans="2:56">
      <c r="D57"/>
      <c r="E57"/>
      <c r="F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F71"/>
  <sheetViews>
    <sheetView showGridLines="0" zoomScale="95" zoomScaleNormal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66" sqref="F66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7" width="12" customWidth="1"/>
    <col min="8" max="8" width="11.5546875" customWidth="1"/>
    <col min="9" max="9" width="11.109375" customWidth="1"/>
    <col min="10" max="10" width="10.6640625" customWidth="1"/>
    <col min="11" max="11" width="11.44140625" customWidth="1"/>
    <col min="12" max="12" width="8.88671875" customWidth="1"/>
    <col min="13" max="13" width="10.6640625" customWidth="1"/>
    <col min="14" max="14" width="12.44140625" customWidth="1"/>
    <col min="15" max="15" width="32.109375" customWidth="1"/>
    <col min="16" max="16" width="10.6640625" customWidth="1"/>
    <col min="17" max="17" width="11.109375" style="54" customWidth="1"/>
    <col min="18" max="18" width="11.5546875" style="54" customWidth="1"/>
    <col min="19" max="19" width="10.109375" customWidth="1"/>
    <col min="20" max="20" width="12" style="54" customWidth="1"/>
    <col min="21" max="22" width="8.88671875" style="54" customWidth="1"/>
    <col min="23" max="23" width="10.109375" customWidth="1"/>
    <col min="24" max="24" width="8.88671875" style="54" customWidth="1"/>
    <col min="25" max="25" width="9.88671875" style="54" customWidth="1"/>
    <col min="26" max="26" width="12.109375" style="54" customWidth="1"/>
    <col min="27" max="27" width="10.109375" customWidth="1"/>
    <col min="28" max="30" width="12.44140625" style="54" customWidth="1"/>
    <col min="31" max="31" width="10.109375" customWidth="1"/>
    <col min="32" max="32" width="8.88671875" customWidth="1"/>
    <col min="33" max="33" width="11.44140625" customWidth="1"/>
    <col min="34" max="34" width="10.88671875" customWidth="1"/>
    <col min="35" max="35" width="10.109375" customWidth="1"/>
    <col min="36" max="36" width="9.44140625" customWidth="1"/>
    <col min="37" max="37" width="10.44140625" customWidth="1"/>
    <col min="38" max="38" width="11.44140625" customWidth="1"/>
    <col min="39" max="39" width="10.109375" customWidth="1"/>
    <col min="40" max="40" width="12.44140625" customWidth="1"/>
    <col min="41" max="41" width="10.109375" customWidth="1"/>
    <col min="42" max="42" width="10.6640625" customWidth="1"/>
    <col min="43" max="45" width="10.109375" customWidth="1"/>
    <col min="46" max="46" width="11" customWidth="1"/>
    <col min="47" max="47" width="11" style="89" customWidth="1"/>
    <col min="48" max="48" width="8.88671875" customWidth="1"/>
    <col min="49" max="49" width="11.6640625" customWidth="1"/>
    <col min="50" max="50" width="10.5546875" customWidth="1"/>
    <col min="51" max="51" width="11.109375" customWidth="1"/>
    <col min="52" max="52" width="10.109375" customWidth="1"/>
    <col min="53" max="53" width="9.88671875" customWidth="1"/>
    <col min="54" max="54" width="10.109375" customWidth="1"/>
    <col min="55" max="55" width="10.44140625" customWidth="1"/>
    <col min="56" max="56" width="10.44140625" style="89" customWidth="1"/>
  </cols>
  <sheetData>
    <row r="2" spans="2:58" ht="34.799999999999997">
      <c r="B2" s="118" t="str">
        <f>Content!$B$15</f>
        <v>Consolidated Statement of Cash Flows</v>
      </c>
    </row>
    <row r="3" spans="2:58" ht="16.8">
      <c r="B3" s="117" t="s">
        <v>0</v>
      </c>
    </row>
    <row r="4" spans="2:58">
      <c r="D4" s="54"/>
      <c r="E4" s="54"/>
      <c r="AB4"/>
      <c r="AC4"/>
      <c r="AD4"/>
      <c r="AY4" s="102" t="s">
        <v>190</v>
      </c>
    </row>
    <row r="5" spans="2:58" s="75" customFormat="1" ht="15" thickBot="1">
      <c r="B5" s="77"/>
      <c r="D5" s="86" t="s">
        <v>173</v>
      </c>
      <c r="E5" s="86" t="s">
        <v>173</v>
      </c>
      <c r="F5" s="86" t="s">
        <v>173</v>
      </c>
      <c r="G5" s="86" t="s">
        <v>179</v>
      </c>
      <c r="H5" s="86" t="s">
        <v>179</v>
      </c>
      <c r="I5" s="86" t="s">
        <v>179</v>
      </c>
      <c r="J5" s="86" t="s">
        <v>179</v>
      </c>
      <c r="K5" s="86" t="s">
        <v>179</v>
      </c>
      <c r="M5" s="86" t="s">
        <v>179</v>
      </c>
      <c r="N5" s="86" t="s">
        <v>179</v>
      </c>
      <c r="P5" s="86" t="s">
        <v>173</v>
      </c>
      <c r="Q5" s="86" t="s">
        <v>173</v>
      </c>
      <c r="R5" s="86" t="s">
        <v>173</v>
      </c>
      <c r="S5" s="86" t="s">
        <v>173</v>
      </c>
      <c r="T5" s="86" t="s">
        <v>173</v>
      </c>
      <c r="U5" s="86" t="s">
        <v>173</v>
      </c>
      <c r="V5" s="86" t="s">
        <v>173</v>
      </c>
      <c r="W5" s="86" t="s">
        <v>173</v>
      </c>
      <c r="X5" s="86" t="s">
        <v>173</v>
      </c>
      <c r="Y5" s="86" t="s">
        <v>173</v>
      </c>
      <c r="Z5" s="86" t="s">
        <v>173</v>
      </c>
      <c r="AA5" s="86" t="s">
        <v>173</v>
      </c>
      <c r="AB5" s="86" t="s">
        <v>173</v>
      </c>
      <c r="AC5" s="86" t="s">
        <v>173</v>
      </c>
      <c r="AD5" s="86" t="s">
        <v>173</v>
      </c>
      <c r="AE5" s="86" t="s">
        <v>179</v>
      </c>
      <c r="AF5" s="86" t="s">
        <v>179</v>
      </c>
      <c r="AG5" s="86" t="s">
        <v>179</v>
      </c>
      <c r="AH5" s="86" t="s">
        <v>179</v>
      </c>
      <c r="AI5" s="86" t="s">
        <v>179</v>
      </c>
      <c r="AJ5" s="86" t="s">
        <v>179</v>
      </c>
      <c r="AK5" s="86" t="s">
        <v>179</v>
      </c>
      <c r="AL5" s="86" t="s">
        <v>179</v>
      </c>
      <c r="AM5" s="86" t="s">
        <v>179</v>
      </c>
      <c r="AN5" s="86" t="s">
        <v>179</v>
      </c>
      <c r="AO5" s="86" t="s">
        <v>179</v>
      </c>
      <c r="AP5" s="86" t="s">
        <v>179</v>
      </c>
      <c r="AQ5" s="86" t="s">
        <v>179</v>
      </c>
      <c r="AR5" s="86" t="s">
        <v>179</v>
      </c>
      <c r="AS5" s="86" t="s">
        <v>179</v>
      </c>
      <c r="AT5" s="86" t="s">
        <v>179</v>
      </c>
      <c r="AU5" s="86" t="s">
        <v>179</v>
      </c>
      <c r="AW5" s="86" t="s">
        <v>179</v>
      </c>
      <c r="AX5" s="86" t="s">
        <v>179</v>
      </c>
      <c r="AY5" s="86" t="s">
        <v>179</v>
      </c>
      <c r="AZ5" s="86" t="s">
        <v>179</v>
      </c>
      <c r="BA5" s="86" t="s">
        <v>179</v>
      </c>
      <c r="BB5" s="86" t="s">
        <v>179</v>
      </c>
      <c r="BC5" s="86" t="s">
        <v>179</v>
      </c>
      <c r="BD5" s="86" t="s">
        <v>179</v>
      </c>
    </row>
    <row r="6" spans="2:58" ht="15" thickTop="1">
      <c r="B6" s="121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">
        <v>123</v>
      </c>
      <c r="N6" s="4" t="s">
        <v>123</v>
      </c>
      <c r="O6" s="13"/>
      <c r="P6" s="4" t="str">
        <f>J6</f>
        <v>IAS 17</v>
      </c>
      <c r="Q6" s="59" t="str">
        <f>P6</f>
        <v>IAS 17</v>
      </c>
      <c r="R6" s="59" t="str">
        <f>Q6</f>
        <v>IAS 17</v>
      </c>
      <c r="S6" s="4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4" t="str">
        <f t="shared" ref="W6:AZ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4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W6" s="4" t="str">
        <f>M6</f>
        <v>IFRS 16</v>
      </c>
      <c r="AX6" s="4" t="str">
        <f t="shared" si="2"/>
        <v>IFRS 16</v>
      </c>
      <c r="AY6" s="4" t="str">
        <f t="shared" si="2"/>
        <v>IFRS 16</v>
      </c>
      <c r="AZ6" s="4" t="str">
        <f t="shared" si="2"/>
        <v>IFRS 16</v>
      </c>
      <c r="BA6" s="4" t="str">
        <f>AW6</f>
        <v>IFRS 16</v>
      </c>
      <c r="BB6" s="4" t="str">
        <f>BA6</f>
        <v>IFRS 16</v>
      </c>
      <c r="BC6" s="4" t="str">
        <f>BB6</f>
        <v>IFRS 16</v>
      </c>
      <c r="BD6" s="4" t="str">
        <f t="shared" ref="BD6" si="3">BC6</f>
        <v>IFRS 16</v>
      </c>
    </row>
    <row r="7" spans="2:58" ht="15" thickBot="1">
      <c r="B7" s="122"/>
      <c r="C7" s="3"/>
      <c r="D7" s="57">
        <v>2012</v>
      </c>
      <c r="E7" s="57">
        <v>2013</v>
      </c>
      <c r="F7" s="57">
        <v>2014</v>
      </c>
      <c r="G7" s="3">
        <f>F7+1</f>
        <v>2015</v>
      </c>
      <c r="H7" s="3">
        <f t="shared" ref="H7:I7" si="4">G7+1</f>
        <v>2016</v>
      </c>
      <c r="I7" s="3">
        <f t="shared" si="4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57" t="s">
        <v>35</v>
      </c>
      <c r="Q7" s="60" t="s">
        <v>36</v>
      </c>
      <c r="R7" s="60" t="s">
        <v>37</v>
      </c>
      <c r="S7" s="79" t="s">
        <v>38</v>
      </c>
      <c r="T7" s="60" t="s">
        <v>10</v>
      </c>
      <c r="U7" s="60" t="s">
        <v>11</v>
      </c>
      <c r="V7" s="60" t="s">
        <v>12</v>
      </c>
      <c r="W7" s="79" t="s">
        <v>13</v>
      </c>
      <c r="X7" s="60" t="s">
        <v>14</v>
      </c>
      <c r="Y7" s="60" t="s">
        <v>15</v>
      </c>
      <c r="Z7" s="60" t="s">
        <v>16</v>
      </c>
      <c r="AA7" s="79" t="s">
        <v>17</v>
      </c>
      <c r="AB7" s="60" t="s">
        <v>18</v>
      </c>
      <c r="AC7" s="60" t="s">
        <v>19</v>
      </c>
      <c r="AD7" s="60" t="s">
        <v>20</v>
      </c>
      <c r="AE7" s="79" t="s">
        <v>21</v>
      </c>
      <c r="AF7" s="3" t="s">
        <v>22</v>
      </c>
      <c r="AG7" s="3" t="s">
        <v>23</v>
      </c>
      <c r="AH7" s="3" t="s">
        <v>24</v>
      </c>
      <c r="AI7" s="79" t="s">
        <v>25</v>
      </c>
      <c r="AJ7" s="3" t="s">
        <v>26</v>
      </c>
      <c r="AK7" s="3" t="s">
        <v>27</v>
      </c>
      <c r="AL7" s="3" t="s">
        <v>28</v>
      </c>
      <c r="AM7" s="60" t="s">
        <v>29</v>
      </c>
      <c r="AN7" s="60" t="s">
        <v>47</v>
      </c>
      <c r="AO7" s="60" t="s">
        <v>48</v>
      </c>
      <c r="AP7" s="60" t="s">
        <v>49</v>
      </c>
      <c r="AQ7" s="60" t="s">
        <v>50</v>
      </c>
      <c r="AR7" s="60" t="s">
        <v>167</v>
      </c>
      <c r="AS7" s="60" t="s">
        <v>168</v>
      </c>
      <c r="AT7" s="60" t="s">
        <v>169</v>
      </c>
      <c r="AU7" s="60" t="s">
        <v>170</v>
      </c>
      <c r="AV7" s="54"/>
      <c r="AW7" s="60" t="s">
        <v>47</v>
      </c>
      <c r="AX7" s="60" t="s">
        <v>48</v>
      </c>
      <c r="AY7" s="60" t="s">
        <v>49</v>
      </c>
      <c r="AZ7" s="60" t="s">
        <v>50</v>
      </c>
      <c r="BA7" s="60" t="s">
        <v>167</v>
      </c>
      <c r="BB7" s="60" t="s">
        <v>168</v>
      </c>
      <c r="BC7" s="3" t="s">
        <v>169</v>
      </c>
      <c r="BD7" s="104" t="s">
        <v>170</v>
      </c>
    </row>
    <row r="8" spans="2:58" ht="15" thickTop="1">
      <c r="B8" s="13"/>
      <c r="C8" s="13"/>
      <c r="D8" s="13"/>
      <c r="E8" s="13"/>
      <c r="F8" s="13"/>
      <c r="G8" s="13"/>
      <c r="H8" s="13"/>
      <c r="I8" s="13"/>
      <c r="J8" s="13"/>
      <c r="K8" s="13"/>
      <c r="M8" s="13"/>
      <c r="N8" s="13"/>
      <c r="O8" s="13"/>
      <c r="P8" s="13"/>
      <c r="Q8" s="61"/>
      <c r="R8" s="61"/>
      <c r="S8" s="13"/>
      <c r="T8" s="61"/>
      <c r="U8" s="61"/>
      <c r="V8" s="61"/>
      <c r="W8" s="13"/>
      <c r="X8" s="61"/>
      <c r="Y8" s="61"/>
      <c r="Z8" s="61"/>
      <c r="AA8" s="13"/>
      <c r="AB8" s="61"/>
      <c r="AC8" s="61"/>
      <c r="AD8" s="61"/>
      <c r="AE8" s="13"/>
      <c r="AF8" s="13"/>
      <c r="AG8" s="13"/>
      <c r="AH8" s="13"/>
      <c r="AI8" s="13"/>
      <c r="AJ8" s="13"/>
      <c r="AK8" s="13"/>
      <c r="AL8" s="13"/>
      <c r="AM8" s="61"/>
      <c r="AN8" s="61"/>
      <c r="AO8" s="61"/>
      <c r="AP8" s="61"/>
      <c r="AQ8" s="61"/>
      <c r="AR8" s="61"/>
      <c r="AS8" s="61"/>
      <c r="AT8" s="61"/>
      <c r="AU8" s="61"/>
      <c r="AV8" s="54"/>
      <c r="AW8" s="61"/>
      <c r="AX8" s="61"/>
      <c r="AY8" s="61"/>
      <c r="AZ8" s="61"/>
      <c r="BA8" s="54"/>
      <c r="BB8" s="54"/>
    </row>
    <row r="9" spans="2:58">
      <c r="B9" s="25" t="s">
        <v>86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10"/>
      <c r="BD9" s="10"/>
    </row>
    <row r="10" spans="2:58">
      <c r="B10" s="25"/>
      <c r="Q10"/>
      <c r="R10"/>
      <c r="T10"/>
      <c r="U10"/>
      <c r="V10"/>
      <c r="X10"/>
      <c r="Y10"/>
      <c r="Z10"/>
      <c r="AB10"/>
      <c r="AC10"/>
      <c r="AD10"/>
    </row>
    <row r="11" spans="2:58">
      <c r="B11" s="25" t="s">
        <v>46</v>
      </c>
      <c r="C11" s="24"/>
      <c r="D11" s="82">
        <v>456.11507567234781</v>
      </c>
      <c r="E11" s="82">
        <v>1152.7428550766545</v>
      </c>
      <c r="F11" s="82">
        <v>2042.8002316301649</v>
      </c>
      <c r="G11" s="82">
        <v>976</v>
      </c>
      <c r="H11" s="82">
        <v>3820</v>
      </c>
      <c r="I11" s="82">
        <v>4844</v>
      </c>
      <c r="J11" s="82">
        <v>6603</v>
      </c>
      <c r="K11" s="82">
        <v>7303</v>
      </c>
      <c r="L11" s="54"/>
      <c r="M11" s="82">
        <v>5694</v>
      </c>
      <c r="N11" s="82">
        <v>6542</v>
      </c>
      <c r="O11" s="83"/>
      <c r="P11" s="82">
        <v>-608.59334409458438</v>
      </c>
      <c r="Q11" s="82">
        <v>-867.50886618439779</v>
      </c>
      <c r="R11" s="82">
        <v>-509.72136434758738</v>
      </c>
      <c r="S11" s="82">
        <v>456.11507567234781</v>
      </c>
      <c r="T11" s="82">
        <v>-595.13995692093374</v>
      </c>
      <c r="U11" s="82">
        <v>-570.28628242697982</v>
      </c>
      <c r="V11" s="82">
        <v>37.853031490540019</v>
      </c>
      <c r="W11" s="82">
        <v>1152.7428550766556</v>
      </c>
      <c r="X11" s="82">
        <v>-434.97841897640615</v>
      </c>
      <c r="Y11" s="82">
        <v>-315.44135685687888</v>
      </c>
      <c r="Z11" s="82">
        <v>612.87787658867114</v>
      </c>
      <c r="AA11" s="82">
        <v>2042.8002316301649</v>
      </c>
      <c r="AB11" s="82">
        <v>24.138770316624317</v>
      </c>
      <c r="AC11" s="82">
        <v>368</v>
      </c>
      <c r="AD11" s="82">
        <v>657</v>
      </c>
      <c r="AE11" s="82">
        <v>976</v>
      </c>
      <c r="AF11" s="82">
        <v>102</v>
      </c>
      <c r="AG11" s="82">
        <v>627</v>
      </c>
      <c r="AH11" s="82">
        <v>1685</v>
      </c>
      <c r="AI11" s="82">
        <v>3820</v>
      </c>
      <c r="AJ11" s="82">
        <v>-88.662602691543228</v>
      </c>
      <c r="AK11" s="82">
        <v>705</v>
      </c>
      <c r="AL11" s="82">
        <v>2312.9134378384315</v>
      </c>
      <c r="AM11" s="82">
        <v>4844</v>
      </c>
      <c r="AN11" s="82">
        <v>335.4052318763429</v>
      </c>
      <c r="AO11" s="82">
        <v>1909</v>
      </c>
      <c r="AP11" s="82">
        <v>4035.8063766699947</v>
      </c>
      <c r="AQ11" s="82">
        <v>6603</v>
      </c>
      <c r="AR11" s="82">
        <v>290.73768910781473</v>
      </c>
      <c r="AS11" s="82">
        <v>2192</v>
      </c>
      <c r="AT11" s="82">
        <v>4553</v>
      </c>
      <c r="AU11" s="82">
        <f>K11</f>
        <v>7303</v>
      </c>
      <c r="AV11" s="54"/>
      <c r="AW11" s="82">
        <v>232.03228674693389</v>
      </c>
      <c r="AX11" s="82">
        <v>1031</v>
      </c>
      <c r="AY11" s="82">
        <v>3400</v>
      </c>
      <c r="AZ11" s="82">
        <v>5694</v>
      </c>
      <c r="BA11" s="82">
        <v>-163.69233314787135</v>
      </c>
      <c r="BB11" s="82">
        <v>1934</v>
      </c>
      <c r="BC11" s="82">
        <v>4082</v>
      </c>
      <c r="BD11" s="82">
        <f>N11</f>
        <v>6542</v>
      </c>
      <c r="BE11" s="54"/>
      <c r="BF11" s="54"/>
    </row>
    <row r="12" spans="2:58">
      <c r="B12" s="31" t="s">
        <v>87</v>
      </c>
      <c r="C12" s="1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54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81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54"/>
    </row>
    <row r="13" spans="2:58">
      <c r="B13" s="26" t="s">
        <v>88</v>
      </c>
      <c r="C13" s="10"/>
      <c r="D13" s="62">
        <v>580.34524448287743</v>
      </c>
      <c r="E13" s="62">
        <v>634.1404915214963</v>
      </c>
      <c r="F13" s="62">
        <v>740</v>
      </c>
      <c r="G13" s="62">
        <v>954</v>
      </c>
      <c r="H13" s="62">
        <v>1591</v>
      </c>
      <c r="I13" s="62">
        <v>1818</v>
      </c>
      <c r="J13" s="62">
        <v>2113</v>
      </c>
      <c r="K13" s="62">
        <v>2549</v>
      </c>
      <c r="L13" s="54"/>
      <c r="M13" s="62">
        <v>9100</v>
      </c>
      <c r="N13" s="62">
        <v>10005</v>
      </c>
      <c r="O13" s="54"/>
      <c r="P13" s="62">
        <v>135.60138252425935</v>
      </c>
      <c r="Q13" s="62">
        <v>275.38693252716848</v>
      </c>
      <c r="R13" s="62">
        <v>425.43008188276286</v>
      </c>
      <c r="S13" s="62">
        <v>580.34524448287743</v>
      </c>
      <c r="T13" s="62">
        <v>150.14974985878635</v>
      </c>
      <c r="U13" s="62">
        <v>305.89253817658931</v>
      </c>
      <c r="V13" s="62">
        <v>467.49348485337197</v>
      </c>
      <c r="W13" s="62">
        <v>634.1404915214963</v>
      </c>
      <c r="X13" s="62">
        <v>176.0837953802108</v>
      </c>
      <c r="Y13" s="62">
        <v>351.27593114186936</v>
      </c>
      <c r="Z13" s="62">
        <v>533.84054215857736</v>
      </c>
      <c r="AA13" s="62">
        <v>740</v>
      </c>
      <c r="AB13" s="62">
        <v>182.42885671028807</v>
      </c>
      <c r="AC13" s="62">
        <v>409.72450483814168</v>
      </c>
      <c r="AD13" s="62">
        <v>638.41174644823218</v>
      </c>
      <c r="AE13" s="62">
        <v>954</v>
      </c>
      <c r="AF13" s="62">
        <v>370.32950611365362</v>
      </c>
      <c r="AG13" s="62">
        <v>770.91461138777595</v>
      </c>
      <c r="AH13" s="62">
        <v>1176</v>
      </c>
      <c r="AI13" s="62">
        <v>1591</v>
      </c>
      <c r="AJ13" s="62">
        <v>426.39253493706138</v>
      </c>
      <c r="AK13" s="62">
        <v>874</v>
      </c>
      <c r="AL13" s="62">
        <v>1330.9703130395346</v>
      </c>
      <c r="AM13" s="62">
        <v>1818</v>
      </c>
      <c r="AN13" s="62">
        <v>508.44241790857899</v>
      </c>
      <c r="AO13" s="62">
        <v>1028.8199696151501</v>
      </c>
      <c r="AP13" s="62">
        <v>1576.4718693455854</v>
      </c>
      <c r="AQ13" s="62">
        <v>2113</v>
      </c>
      <c r="AR13" s="62">
        <v>592.21089179800549</v>
      </c>
      <c r="AS13" s="62">
        <v>1225</v>
      </c>
      <c r="AT13" s="62">
        <v>1886</v>
      </c>
      <c r="AU13" s="62">
        <f t="shared" ref="AU13:AU34" si="5">K13</f>
        <v>2549</v>
      </c>
      <c r="AV13" s="54"/>
      <c r="AW13" s="62">
        <v>2262.4308371083425</v>
      </c>
      <c r="AX13" s="62">
        <v>4695</v>
      </c>
      <c r="AY13" s="62">
        <v>6851</v>
      </c>
      <c r="AZ13" s="62">
        <v>9100</v>
      </c>
      <c r="BA13" s="62">
        <v>2443.6114809484689</v>
      </c>
      <c r="BB13" s="62">
        <v>4875</v>
      </c>
      <c r="BC13" s="62">
        <v>7431</v>
      </c>
      <c r="BD13" s="62">
        <f t="shared" ref="BD13:BD34" si="6">N13</f>
        <v>10005</v>
      </c>
      <c r="BE13" s="54"/>
      <c r="BF13" s="54"/>
    </row>
    <row r="14" spans="2:58">
      <c r="B14" s="26" t="s">
        <v>43</v>
      </c>
      <c r="C14" s="10"/>
      <c r="D14" s="62"/>
      <c r="E14" s="62"/>
      <c r="F14" s="62"/>
      <c r="G14" s="62">
        <v>2416</v>
      </c>
      <c r="H14" s="62">
        <v>1938</v>
      </c>
      <c r="I14" s="62">
        <v>1866</v>
      </c>
      <c r="J14" s="62">
        <v>1824</v>
      </c>
      <c r="K14" s="62">
        <v>2305</v>
      </c>
      <c r="L14" s="54"/>
      <c r="M14" s="62">
        <v>4427</v>
      </c>
      <c r="N14" s="62">
        <v>4878</v>
      </c>
      <c r="O14" s="84"/>
      <c r="P14" s="62">
        <v>0</v>
      </c>
      <c r="Q14" s="62">
        <v>0</v>
      </c>
      <c r="R14" s="62"/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2416</v>
      </c>
      <c r="AF14" s="62">
        <v>508.35006335000003</v>
      </c>
      <c r="AG14" s="62">
        <v>965.09355919999985</v>
      </c>
      <c r="AH14" s="62">
        <v>1418</v>
      </c>
      <c r="AI14" s="62">
        <v>1938</v>
      </c>
      <c r="AJ14" s="62">
        <v>447.52734220999997</v>
      </c>
      <c r="AK14" s="62">
        <v>960</v>
      </c>
      <c r="AL14" s="62">
        <v>1427.3278387999997</v>
      </c>
      <c r="AM14" s="62">
        <v>1866</v>
      </c>
      <c r="AN14" s="62">
        <v>388.84958446000002</v>
      </c>
      <c r="AO14" s="62">
        <v>845.61273601000005</v>
      </c>
      <c r="AP14" s="62">
        <v>1303.4473841100003</v>
      </c>
      <c r="AQ14" s="62">
        <v>1824</v>
      </c>
      <c r="AR14" s="62">
        <v>557.79478182000003</v>
      </c>
      <c r="AS14" s="62">
        <v>1164</v>
      </c>
      <c r="AT14" s="62">
        <v>1785</v>
      </c>
      <c r="AU14" s="62">
        <f t="shared" si="5"/>
        <v>2305</v>
      </c>
      <c r="AV14" s="54"/>
      <c r="AW14" s="62">
        <v>810.99100333472995</v>
      </c>
      <c r="AX14" s="62">
        <v>2337.2082934213163</v>
      </c>
      <c r="AY14" s="62">
        <v>3087</v>
      </c>
      <c r="AZ14" s="62">
        <v>4427</v>
      </c>
      <c r="BA14" s="62">
        <v>1566.1949486145513</v>
      </c>
      <c r="BB14" s="62">
        <v>2422</v>
      </c>
      <c r="BC14" s="62">
        <v>3583</v>
      </c>
      <c r="BD14" s="62">
        <f t="shared" si="6"/>
        <v>4878</v>
      </c>
      <c r="BE14" s="54"/>
      <c r="BF14" s="54"/>
    </row>
    <row r="15" spans="2:58" ht="28.8">
      <c r="B15" s="26" t="s">
        <v>89</v>
      </c>
      <c r="C15" s="10"/>
      <c r="D15" s="62">
        <v>337.01446889334073</v>
      </c>
      <c r="E15" s="62">
        <v>302.07306954362065</v>
      </c>
      <c r="F15" s="62">
        <v>455</v>
      </c>
      <c r="G15" s="62">
        <v>888</v>
      </c>
      <c r="H15" s="62">
        <v>1264</v>
      </c>
      <c r="I15" s="62">
        <v>1320</v>
      </c>
      <c r="J15" s="62">
        <v>1233</v>
      </c>
      <c r="K15" s="62">
        <v>1270</v>
      </c>
      <c r="L15" s="54"/>
      <c r="M15" s="62">
        <v>1233</v>
      </c>
      <c r="N15" s="62">
        <v>1270</v>
      </c>
      <c r="O15" s="54"/>
      <c r="P15" s="62">
        <v>77.525000000000006</v>
      </c>
      <c r="Q15" s="62">
        <v>175.89245578767077</v>
      </c>
      <c r="R15" s="62">
        <v>258.26884320044496</v>
      </c>
      <c r="S15" s="62">
        <v>337.01446889334073</v>
      </c>
      <c r="T15" s="62">
        <v>4.6169152499999457</v>
      </c>
      <c r="U15" s="62">
        <v>76.524917647795846</v>
      </c>
      <c r="V15" s="62">
        <v>116.50677944837196</v>
      </c>
      <c r="W15" s="62">
        <v>302.07306954362065</v>
      </c>
      <c r="X15" s="62">
        <v>82.761051488898786</v>
      </c>
      <c r="Y15" s="62">
        <v>208.28864456722846</v>
      </c>
      <c r="Z15" s="62">
        <v>353.12374793648615</v>
      </c>
      <c r="AA15" s="62">
        <v>455</v>
      </c>
      <c r="AB15" s="62">
        <v>111.35908896884168</v>
      </c>
      <c r="AC15" s="62">
        <v>490.28643258815606</v>
      </c>
      <c r="AD15" s="62">
        <v>713.72219126863013</v>
      </c>
      <c r="AE15" s="62">
        <v>888</v>
      </c>
      <c r="AF15" s="62">
        <v>279.48934732913466</v>
      </c>
      <c r="AG15" s="62">
        <v>784.53221016057091</v>
      </c>
      <c r="AH15" s="62">
        <v>1102</v>
      </c>
      <c r="AI15" s="62">
        <v>1264</v>
      </c>
      <c r="AJ15" s="62">
        <v>217.0900847004836</v>
      </c>
      <c r="AK15" s="62">
        <v>687</v>
      </c>
      <c r="AL15" s="62">
        <v>809.46583480101026</v>
      </c>
      <c r="AM15" s="62">
        <v>1320</v>
      </c>
      <c r="AN15" s="62">
        <v>158.85666609629246</v>
      </c>
      <c r="AO15" s="62">
        <v>376.5638631290451</v>
      </c>
      <c r="AP15" s="62">
        <v>616.17481101888666</v>
      </c>
      <c r="AQ15" s="62">
        <v>1233</v>
      </c>
      <c r="AR15" s="62">
        <v>337.78362728801557</v>
      </c>
      <c r="AS15" s="62">
        <v>358</v>
      </c>
      <c r="AT15" s="62">
        <v>760</v>
      </c>
      <c r="AU15" s="62">
        <f t="shared" si="5"/>
        <v>1270</v>
      </c>
      <c r="AV15" s="54"/>
      <c r="AW15" s="62">
        <v>158.85666609629246</v>
      </c>
      <c r="AX15" s="62">
        <v>376.5638631290451</v>
      </c>
      <c r="AY15" s="62">
        <v>616</v>
      </c>
      <c r="AZ15" s="62">
        <v>1233</v>
      </c>
      <c r="BA15" s="62">
        <v>337.78362728801557</v>
      </c>
      <c r="BB15" s="62">
        <v>358</v>
      </c>
      <c r="BC15" s="62">
        <v>760</v>
      </c>
      <c r="BD15" s="62">
        <f t="shared" si="6"/>
        <v>1270</v>
      </c>
      <c r="BE15" s="54"/>
      <c r="BF15" s="54"/>
    </row>
    <row r="16" spans="2:58">
      <c r="B16" s="26" t="s">
        <v>90</v>
      </c>
      <c r="C16" s="10"/>
      <c r="D16" s="62"/>
      <c r="E16" s="62"/>
      <c r="F16" s="62"/>
      <c r="G16" s="62">
        <v>578</v>
      </c>
      <c r="H16" s="62">
        <v>1065</v>
      </c>
      <c r="I16" s="62">
        <v>1036</v>
      </c>
      <c r="J16" s="62">
        <v>1454</v>
      </c>
      <c r="K16" s="62">
        <v>1550</v>
      </c>
      <c r="L16" s="54"/>
      <c r="M16" s="62">
        <v>1227</v>
      </c>
      <c r="N16" s="62">
        <v>1360</v>
      </c>
      <c r="O16" s="84"/>
      <c r="P16" s="62"/>
      <c r="Q16" s="62"/>
      <c r="R16" s="62"/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/>
      <c r="AE16" s="62">
        <v>578</v>
      </c>
      <c r="AF16" s="62">
        <v>-59.714216095004254</v>
      </c>
      <c r="AG16" s="62">
        <v>209.18990700125892</v>
      </c>
      <c r="AH16" s="62">
        <v>498</v>
      </c>
      <c r="AI16" s="62">
        <v>1065</v>
      </c>
      <c r="AJ16" s="62">
        <v>38.67766957603699</v>
      </c>
      <c r="AK16" s="62">
        <v>350</v>
      </c>
      <c r="AL16" s="62">
        <v>410.26753357041883</v>
      </c>
      <c r="AM16" s="62">
        <v>1036</v>
      </c>
      <c r="AN16" s="62">
        <v>76.27196299641848</v>
      </c>
      <c r="AO16" s="62">
        <v>489.31068196000206</v>
      </c>
      <c r="AP16" s="62">
        <v>876.48668072526254</v>
      </c>
      <c r="AQ16" s="62">
        <v>1454</v>
      </c>
      <c r="AR16" s="62">
        <v>25.557464121966511</v>
      </c>
      <c r="AS16" s="62">
        <v>148</v>
      </c>
      <c r="AT16" s="62">
        <v>673</v>
      </c>
      <c r="AU16" s="62">
        <f t="shared" si="5"/>
        <v>1550</v>
      </c>
      <c r="AV16" s="54"/>
      <c r="AW16" s="62">
        <v>50.428726714066272</v>
      </c>
      <c r="AX16" s="62">
        <v>269.67529271950315</v>
      </c>
      <c r="AY16" s="62">
        <v>718</v>
      </c>
      <c r="AZ16" s="62">
        <v>1227</v>
      </c>
      <c r="BA16" s="62">
        <v>-88.050041441955074</v>
      </c>
      <c r="BB16" s="62">
        <v>84</v>
      </c>
      <c r="BC16" s="62">
        <v>555</v>
      </c>
      <c r="BD16" s="62">
        <f t="shared" si="6"/>
        <v>1360</v>
      </c>
      <c r="BE16" s="54"/>
      <c r="BF16" s="54"/>
    </row>
    <row r="17" spans="2:58" ht="28.8">
      <c r="B17" s="26" t="s">
        <v>176</v>
      </c>
      <c r="C17" s="10"/>
      <c r="D17" s="62"/>
      <c r="E17" s="62"/>
      <c r="F17" s="62"/>
      <c r="G17" s="62"/>
      <c r="H17" s="62"/>
      <c r="I17" s="62"/>
      <c r="J17" s="62">
        <v>48</v>
      </c>
      <c r="K17" s="62">
        <v>20</v>
      </c>
      <c r="L17" s="54"/>
      <c r="M17" s="62">
        <v>191</v>
      </c>
      <c r="N17" s="62">
        <v>128</v>
      </c>
      <c r="O17" s="54"/>
      <c r="P17" s="62">
        <v>0</v>
      </c>
      <c r="Q17" s="62">
        <v>0</v>
      </c>
      <c r="R17" s="62"/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/>
      <c r="Y17" s="62"/>
      <c r="Z17" s="62"/>
      <c r="AA17" s="62">
        <v>0</v>
      </c>
      <c r="AB17" s="62">
        <v>0</v>
      </c>
      <c r="AC17" s="62">
        <v>0</v>
      </c>
      <c r="AD17" s="62"/>
      <c r="AE17" s="62">
        <v>0</v>
      </c>
      <c r="AF17" s="62">
        <v>0</v>
      </c>
      <c r="AG17" s="62"/>
      <c r="AH17" s="62">
        <v>0</v>
      </c>
      <c r="AI17" s="62">
        <v>0</v>
      </c>
      <c r="AJ17" s="62">
        <v>0</v>
      </c>
      <c r="AK17" s="62"/>
      <c r="AL17" s="62"/>
      <c r="AM17" s="62">
        <v>0</v>
      </c>
      <c r="AN17" s="62"/>
      <c r="AO17" s="62"/>
      <c r="AP17" s="62"/>
      <c r="AQ17" s="62">
        <v>48</v>
      </c>
      <c r="AR17" s="62"/>
      <c r="AS17" s="62"/>
      <c r="AT17" s="62"/>
      <c r="AU17" s="62">
        <f t="shared" si="5"/>
        <v>20</v>
      </c>
      <c r="AV17" s="54"/>
      <c r="AW17" s="62"/>
      <c r="AX17" s="62"/>
      <c r="AY17" s="62"/>
      <c r="AZ17" s="62">
        <v>191</v>
      </c>
      <c r="BA17" s="62"/>
      <c r="BB17" s="62"/>
      <c r="BC17" s="62"/>
      <c r="BD17" s="62">
        <f t="shared" si="6"/>
        <v>128</v>
      </c>
      <c r="BE17" s="54"/>
      <c r="BF17" s="54"/>
    </row>
    <row r="18" spans="2:58">
      <c r="B18" s="26" t="s">
        <v>91</v>
      </c>
      <c r="C18" s="10"/>
      <c r="D18" s="62"/>
      <c r="E18" s="62"/>
      <c r="F18" s="62">
        <v>373</v>
      </c>
      <c r="G18" s="62">
        <v>684</v>
      </c>
      <c r="H18" s="62"/>
      <c r="I18" s="62">
        <v>170</v>
      </c>
      <c r="J18" s="62">
        <v>182</v>
      </c>
      <c r="K18" s="62">
        <v>8</v>
      </c>
      <c r="L18" s="54"/>
      <c r="M18" s="62">
        <v>182</v>
      </c>
      <c r="N18" s="62">
        <v>8</v>
      </c>
      <c r="O18" s="84"/>
      <c r="P18" s="62"/>
      <c r="Q18" s="62"/>
      <c r="R18" s="62"/>
      <c r="S18" s="62">
        <v>0</v>
      </c>
      <c r="T18" s="62"/>
      <c r="U18" s="62"/>
      <c r="V18" s="62"/>
      <c r="W18" s="62">
        <v>0</v>
      </c>
      <c r="X18" s="62">
        <v>0</v>
      </c>
      <c r="Y18" s="62">
        <v>0</v>
      </c>
      <c r="Z18" s="62">
        <v>0</v>
      </c>
      <c r="AA18" s="62">
        <v>373</v>
      </c>
      <c r="AB18" s="62">
        <v>0</v>
      </c>
      <c r="AC18" s="62">
        <v>28</v>
      </c>
      <c r="AD18" s="62">
        <v>41</v>
      </c>
      <c r="AE18" s="62">
        <v>684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220.83257261533689</v>
      </c>
      <c r="AM18" s="62">
        <v>170</v>
      </c>
      <c r="AN18" s="62">
        <v>48.315079818528801</v>
      </c>
      <c r="AO18" s="62">
        <v>96</v>
      </c>
      <c r="AP18" s="62">
        <v>144.94380518992432</v>
      </c>
      <c r="AQ18" s="62">
        <v>182</v>
      </c>
      <c r="AR18" s="62">
        <v>73.246560316702002</v>
      </c>
      <c r="AS18" s="62">
        <v>155</v>
      </c>
      <c r="AT18" s="62">
        <v>247</v>
      </c>
      <c r="AU18" s="62">
        <f t="shared" si="5"/>
        <v>8</v>
      </c>
      <c r="AV18" s="54"/>
      <c r="AW18" s="62">
        <v>48.314601729974797</v>
      </c>
      <c r="AX18" s="62">
        <v>96</v>
      </c>
      <c r="AY18" s="62">
        <v>145</v>
      </c>
      <c r="AZ18" s="62">
        <v>182</v>
      </c>
      <c r="BA18" s="62">
        <v>73.246560316702002</v>
      </c>
      <c r="BB18" s="62">
        <v>156</v>
      </c>
      <c r="BC18" s="62">
        <v>247</v>
      </c>
      <c r="BD18" s="62">
        <f t="shared" si="6"/>
        <v>8</v>
      </c>
      <c r="BE18" s="54"/>
      <c r="BF18" s="54"/>
    </row>
    <row r="19" spans="2:58" ht="28.8">
      <c r="B19" s="26" t="s">
        <v>92</v>
      </c>
      <c r="C19" s="10"/>
      <c r="D19" s="62">
        <v>-7.7983151299999944</v>
      </c>
      <c r="E19" s="62">
        <v>8.0419850699999955</v>
      </c>
      <c r="F19" s="62">
        <v>51</v>
      </c>
      <c r="G19" s="62">
        <v>-26</v>
      </c>
      <c r="H19" s="62">
        <v>34</v>
      </c>
      <c r="I19" s="62">
        <v>25</v>
      </c>
      <c r="J19" s="62">
        <v>8</v>
      </c>
      <c r="K19" s="62">
        <v>-29</v>
      </c>
      <c r="L19" s="54"/>
      <c r="M19" s="62">
        <v>8</v>
      </c>
      <c r="N19" s="62">
        <v>-29</v>
      </c>
      <c r="O19" s="54"/>
      <c r="P19" s="62">
        <v>1.0309999999999999</v>
      </c>
      <c r="Q19" s="62">
        <v>-9.9640000000000004</v>
      </c>
      <c r="R19" s="62">
        <v>-1.8171862900000015</v>
      </c>
      <c r="S19" s="62">
        <v>-7.7983151299999944</v>
      </c>
      <c r="T19" s="62">
        <v>-4.8591973400000024</v>
      </c>
      <c r="U19" s="62">
        <v>-5.0603327700000005</v>
      </c>
      <c r="V19" s="62">
        <v>-13.58052307</v>
      </c>
      <c r="W19" s="62">
        <v>8.0419850699999955</v>
      </c>
      <c r="X19" s="62">
        <v>-2.8259578599999959</v>
      </c>
      <c r="Y19" s="62">
        <v>9.6545278900000042</v>
      </c>
      <c r="Z19" s="62">
        <v>-6.5727997569491503</v>
      </c>
      <c r="AA19" s="62">
        <v>51</v>
      </c>
      <c r="AB19" s="62">
        <v>-1.4612046899999982</v>
      </c>
      <c r="AC19" s="62">
        <v>-30.894696960000005</v>
      </c>
      <c r="AD19" s="62">
        <v>15.696105110000001</v>
      </c>
      <c r="AE19" s="62">
        <v>-26</v>
      </c>
      <c r="AF19" s="62">
        <v>0.71956571999999874</v>
      </c>
      <c r="AG19" s="62">
        <v>12.445830819999998</v>
      </c>
      <c r="AH19" s="62">
        <v>10</v>
      </c>
      <c r="AI19" s="62">
        <v>34</v>
      </c>
      <c r="AJ19" s="62">
        <v>-3.6890899300000037</v>
      </c>
      <c r="AK19" s="62">
        <v>-11</v>
      </c>
      <c r="AL19" s="62">
        <v>-7.8284382000000043</v>
      </c>
      <c r="AM19" s="62">
        <v>25</v>
      </c>
      <c r="AN19" s="62">
        <v>4.4621850000000007</v>
      </c>
      <c r="AO19" s="62">
        <v>3.8727795100000013</v>
      </c>
      <c r="AP19" s="62">
        <v>3.6552398900000007</v>
      </c>
      <c r="AQ19" s="62">
        <v>8</v>
      </c>
      <c r="AR19" s="62">
        <v>-5.471298370000004</v>
      </c>
      <c r="AS19" s="62">
        <v>-35</v>
      </c>
      <c r="AT19" s="62">
        <v>-38</v>
      </c>
      <c r="AU19" s="62">
        <f t="shared" si="5"/>
        <v>-29</v>
      </c>
      <c r="AV19" s="54"/>
      <c r="AW19" s="62">
        <v>4.4621850000000007</v>
      </c>
      <c r="AX19" s="62">
        <v>3.8727795100000013</v>
      </c>
      <c r="AY19" s="62">
        <v>4</v>
      </c>
      <c r="AZ19" s="62">
        <v>8</v>
      </c>
      <c r="BA19" s="62">
        <v>-5.471298370000004</v>
      </c>
      <c r="BB19" s="62">
        <v>-35</v>
      </c>
      <c r="BC19" s="62">
        <v>-38</v>
      </c>
      <c r="BD19" s="62">
        <f t="shared" si="6"/>
        <v>-29</v>
      </c>
      <c r="BE19" s="54"/>
      <c r="BF19" s="54"/>
    </row>
    <row r="20" spans="2:58">
      <c r="B20" s="26" t="s">
        <v>93</v>
      </c>
      <c r="C20" s="10"/>
      <c r="D20" s="62">
        <v>9.0995023675475597</v>
      </c>
      <c r="E20" s="62">
        <v>39.524594867781339</v>
      </c>
      <c r="F20" s="62">
        <v>-1162</v>
      </c>
      <c r="G20" s="62">
        <v>31</v>
      </c>
      <c r="H20" s="62">
        <v>4</v>
      </c>
      <c r="I20" s="62">
        <v>14</v>
      </c>
      <c r="J20" s="62">
        <v>0</v>
      </c>
      <c r="K20" s="62">
        <v>-22</v>
      </c>
      <c r="L20" s="54"/>
      <c r="M20" s="62">
        <v>-1</v>
      </c>
      <c r="N20" s="62">
        <v>-22</v>
      </c>
      <c r="O20" s="54"/>
      <c r="P20" s="62">
        <v>0</v>
      </c>
      <c r="Q20" s="62">
        <v>7.3620744073238891</v>
      </c>
      <c r="R20" s="62">
        <v>11.658387588354161</v>
      </c>
      <c r="S20" s="62">
        <v>9.0995023675475597</v>
      </c>
      <c r="T20" s="62">
        <v>20.52744331160708</v>
      </c>
      <c r="U20" s="62">
        <v>20.934379236745741</v>
      </c>
      <c r="V20" s="62">
        <v>20.796407922543967</v>
      </c>
      <c r="W20" s="62">
        <v>39.524594867781339</v>
      </c>
      <c r="X20" s="62">
        <v>11.829155069229348</v>
      </c>
      <c r="Y20" s="62">
        <v>13.931557170725865</v>
      </c>
      <c r="Z20" s="62">
        <v>1.7621550692293479</v>
      </c>
      <c r="AA20" s="62">
        <v>-1162</v>
      </c>
      <c r="AB20" s="62">
        <v>31.455344127035737</v>
      </c>
      <c r="AC20" s="62">
        <v>43.582821213176459</v>
      </c>
      <c r="AD20" s="62">
        <v>56.993121937035745</v>
      </c>
      <c r="AE20" s="62">
        <v>31</v>
      </c>
      <c r="AF20" s="62">
        <v>1.6739071559658962</v>
      </c>
      <c r="AG20" s="62">
        <v>2.1894169754183195</v>
      </c>
      <c r="AH20" s="62">
        <v>0</v>
      </c>
      <c r="AI20" s="62">
        <v>4</v>
      </c>
      <c r="AJ20" s="62">
        <v>9.9696099</v>
      </c>
      <c r="AK20" s="62">
        <v>33</v>
      </c>
      <c r="AL20" s="62">
        <v>24.054297915992944</v>
      </c>
      <c r="AM20" s="62">
        <v>14</v>
      </c>
      <c r="AN20" s="62">
        <v>-0.66755519190434709</v>
      </c>
      <c r="AO20" s="62">
        <v>-3.6192890179646833</v>
      </c>
      <c r="AP20" s="62">
        <v>0.61429199179426042</v>
      </c>
      <c r="AQ20" s="62">
        <v>0</v>
      </c>
      <c r="AR20" s="62">
        <v>9.2505417463844442</v>
      </c>
      <c r="AS20" s="62">
        <v>-11</v>
      </c>
      <c r="AT20" s="62">
        <v>-21</v>
      </c>
      <c r="AU20" s="62">
        <f t="shared" si="5"/>
        <v>-22</v>
      </c>
      <c r="AV20" s="54"/>
      <c r="AW20" s="62">
        <v>-0.66755519190434709</v>
      </c>
      <c r="AX20" s="62">
        <v>-3.6192890179646833</v>
      </c>
      <c r="AY20" s="62">
        <v>-2</v>
      </c>
      <c r="AZ20" s="62">
        <v>-1</v>
      </c>
      <c r="BA20" s="62">
        <v>9.2505417463844442</v>
      </c>
      <c r="BB20" s="62">
        <v>-11</v>
      </c>
      <c r="BC20" s="62">
        <v>-21</v>
      </c>
      <c r="BD20" s="62">
        <f t="shared" si="6"/>
        <v>-22</v>
      </c>
      <c r="BE20" s="54"/>
      <c r="BF20" s="54"/>
    </row>
    <row r="21" spans="2:58">
      <c r="B21" s="26" t="s">
        <v>42</v>
      </c>
      <c r="C21" s="10"/>
      <c r="D21" s="62"/>
      <c r="E21" s="62"/>
      <c r="F21" s="62"/>
      <c r="G21" s="62">
        <v>-723</v>
      </c>
      <c r="H21" s="62">
        <v>-186</v>
      </c>
      <c r="I21" s="62">
        <v>-28</v>
      </c>
      <c r="J21" s="62">
        <v>-5</v>
      </c>
      <c r="K21" s="62">
        <v>-5</v>
      </c>
      <c r="L21" s="54"/>
      <c r="M21" s="62">
        <v>-10</v>
      </c>
      <c r="N21" s="62">
        <v>-11</v>
      </c>
      <c r="O21" s="84"/>
      <c r="P21" s="62">
        <v>0</v>
      </c>
      <c r="Q21" s="62">
        <v>0</v>
      </c>
      <c r="R21" s="62"/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/>
      <c r="Y21" s="62"/>
      <c r="Z21" s="62"/>
      <c r="AA21" s="62">
        <v>0</v>
      </c>
      <c r="AB21" s="62"/>
      <c r="AC21" s="62"/>
      <c r="AD21" s="62"/>
      <c r="AE21" s="62">
        <v>-723</v>
      </c>
      <c r="AF21" s="62">
        <v>-83.984175337082092</v>
      </c>
      <c r="AG21" s="62">
        <v>-116.58885030793</v>
      </c>
      <c r="AH21" s="62">
        <v>-164</v>
      </c>
      <c r="AI21" s="62">
        <v>-186</v>
      </c>
      <c r="AJ21" s="62">
        <v>-17.062218930778901</v>
      </c>
      <c r="AK21" s="62">
        <v>-22</v>
      </c>
      <c r="AL21" s="62">
        <v>-25.810864661168459</v>
      </c>
      <c r="AM21" s="62">
        <v>-28</v>
      </c>
      <c r="AN21" s="62">
        <v>-1.1885651509619815</v>
      </c>
      <c r="AO21" s="62">
        <v>-1.5192095670611829</v>
      </c>
      <c r="AP21" s="62">
        <v>-2.4135400065144501</v>
      </c>
      <c r="AQ21" s="62">
        <v>-5</v>
      </c>
      <c r="AR21" s="62">
        <v>-2.2729876545043628</v>
      </c>
      <c r="AS21" s="62">
        <v>-3</v>
      </c>
      <c r="AT21" s="62">
        <v>-4</v>
      </c>
      <c r="AU21" s="62">
        <f t="shared" si="5"/>
        <v>-5</v>
      </c>
      <c r="AV21" s="54"/>
      <c r="AW21" s="62">
        <v>-1.1885651509619815</v>
      </c>
      <c r="AX21" s="62">
        <v>-1.5192095670611829</v>
      </c>
      <c r="AY21" s="62">
        <v>-6</v>
      </c>
      <c r="AZ21" s="62">
        <v>-10</v>
      </c>
      <c r="BA21" s="62">
        <v>-3.8811536366021375</v>
      </c>
      <c r="BB21" s="62">
        <v>-6</v>
      </c>
      <c r="BC21" s="62">
        <v>-8</v>
      </c>
      <c r="BD21" s="62">
        <f t="shared" si="6"/>
        <v>-11</v>
      </c>
      <c r="BE21" s="54"/>
      <c r="BF21" s="54"/>
    </row>
    <row r="22" spans="2:58">
      <c r="B22" s="26" t="s">
        <v>94</v>
      </c>
      <c r="C22" s="10"/>
      <c r="D22" s="62">
        <v>-27.136917802484092</v>
      </c>
      <c r="E22" s="62">
        <v>58.40921972666569</v>
      </c>
      <c r="F22" s="62">
        <v>582</v>
      </c>
      <c r="G22" s="62">
        <v>921</v>
      </c>
      <c r="H22" s="62">
        <v>-33</v>
      </c>
      <c r="I22" s="62">
        <v>306</v>
      </c>
      <c r="J22" s="62">
        <v>-106</v>
      </c>
      <c r="K22" s="62">
        <v>124</v>
      </c>
      <c r="L22" s="54"/>
      <c r="M22" s="62">
        <v>-106</v>
      </c>
      <c r="N22" s="62">
        <v>124</v>
      </c>
      <c r="O22" s="54"/>
      <c r="P22" s="62">
        <v>-40.119145069999995</v>
      </c>
      <c r="Q22" s="62">
        <v>4.9329554799999915</v>
      </c>
      <c r="R22" s="62">
        <v>-36.476489599999994</v>
      </c>
      <c r="S22" s="62">
        <v>-27.136917802484092</v>
      </c>
      <c r="T22" s="62">
        <v>5.7828748384559905</v>
      </c>
      <c r="U22" s="62">
        <v>43.219101295312356</v>
      </c>
      <c r="V22" s="62">
        <v>40.871462124478221</v>
      </c>
      <c r="W22" s="62">
        <v>58.40921972666569</v>
      </c>
      <c r="X22" s="62">
        <v>214.86889912319427</v>
      </c>
      <c r="Y22" s="62">
        <v>366.48588424672255</v>
      </c>
      <c r="Z22" s="62">
        <v>358.83477792420888</v>
      </c>
      <c r="AA22" s="62">
        <v>582</v>
      </c>
      <c r="AB22" s="62">
        <v>225.21260659105633</v>
      </c>
      <c r="AC22" s="62">
        <v>52</v>
      </c>
      <c r="AD22" s="62">
        <v>595</v>
      </c>
      <c r="AE22" s="62">
        <v>921</v>
      </c>
      <c r="AF22" s="62">
        <v>-31.292688908839345</v>
      </c>
      <c r="AG22" s="62">
        <v>-45.107497649999999</v>
      </c>
      <c r="AH22" s="62">
        <v>10</v>
      </c>
      <c r="AI22" s="62">
        <v>-33</v>
      </c>
      <c r="AJ22" s="62">
        <v>20.159606163799399</v>
      </c>
      <c r="AK22" s="62">
        <v>120</v>
      </c>
      <c r="AL22" s="62">
        <v>216.96927697648201</v>
      </c>
      <c r="AM22" s="62">
        <v>306</v>
      </c>
      <c r="AN22" s="62">
        <v>-13.444672790728148</v>
      </c>
      <c r="AO22" s="62">
        <v>-143.21394607791402</v>
      </c>
      <c r="AP22" s="62">
        <v>-175.33291060091599</v>
      </c>
      <c r="AQ22" s="62">
        <v>-106</v>
      </c>
      <c r="AR22" s="62">
        <v>182.21056984410438</v>
      </c>
      <c r="AS22" s="62">
        <v>286</v>
      </c>
      <c r="AT22" s="62">
        <v>194</v>
      </c>
      <c r="AU22" s="62">
        <f t="shared" si="5"/>
        <v>124</v>
      </c>
      <c r="AV22" s="54"/>
      <c r="AW22" s="62">
        <v>-13.444672790728148</v>
      </c>
      <c r="AX22" s="62">
        <v>-143.21394607791402</v>
      </c>
      <c r="AY22" s="62">
        <v>-175</v>
      </c>
      <c r="AZ22" s="62">
        <v>-106</v>
      </c>
      <c r="BA22" s="62">
        <v>182.21056984410438</v>
      </c>
      <c r="BB22" s="62">
        <v>286</v>
      </c>
      <c r="BC22" s="62">
        <v>194</v>
      </c>
      <c r="BD22" s="62">
        <f t="shared" si="6"/>
        <v>124</v>
      </c>
      <c r="BE22" s="54"/>
      <c r="BF22" s="54"/>
    </row>
    <row r="23" spans="2:58">
      <c r="B23" s="26" t="s">
        <v>127</v>
      </c>
      <c r="C23" s="10"/>
      <c r="D23" s="62">
        <v>262.34199999999998</v>
      </c>
      <c r="E23" s="62">
        <v>-76.981067135787754</v>
      </c>
      <c r="F23" s="62">
        <v>-282.91185687400252</v>
      </c>
      <c r="G23" s="62">
        <v>-9</v>
      </c>
      <c r="H23" s="62">
        <v>-9</v>
      </c>
      <c r="I23" s="62"/>
      <c r="J23" s="62"/>
      <c r="K23" s="62"/>
      <c r="L23" s="54"/>
      <c r="M23" s="62"/>
      <c r="N23" s="62">
        <v>-43</v>
      </c>
      <c r="O23" s="54"/>
      <c r="P23" s="62">
        <v>-15.6183811363505</v>
      </c>
      <c r="Q23" s="62">
        <v>-59.171832176527197</v>
      </c>
      <c r="R23" s="62">
        <v>-27.629000000000001</v>
      </c>
      <c r="S23" s="62">
        <v>262.34199999999998</v>
      </c>
      <c r="T23" s="62">
        <v>-103.51679170073599</v>
      </c>
      <c r="U23" s="62">
        <v>-100.68868008386551</v>
      </c>
      <c r="V23" s="62">
        <v>-62.671223360638699</v>
      </c>
      <c r="W23" s="62">
        <v>-76.981067135787754</v>
      </c>
      <c r="X23" s="62">
        <v>-84.459595866328002</v>
      </c>
      <c r="Y23" s="62">
        <v>-91.499884793944858</v>
      </c>
      <c r="Z23" s="62">
        <v>-150.02466328640014</v>
      </c>
      <c r="AA23" s="62">
        <v>-282.91185687400252</v>
      </c>
      <c r="AB23" s="62">
        <v>91</v>
      </c>
      <c r="AC23" s="62">
        <v>-85.640057566212988</v>
      </c>
      <c r="AD23" s="62">
        <v>-197.4</v>
      </c>
      <c r="AE23" s="62">
        <v>-9</v>
      </c>
      <c r="AF23" s="62">
        <v>0</v>
      </c>
      <c r="AG23" s="62">
        <v>-9</v>
      </c>
      <c r="AH23" s="62">
        <v>-9</v>
      </c>
      <c r="AI23" s="62">
        <v>-9</v>
      </c>
      <c r="AJ23" s="62"/>
      <c r="AK23" s="62"/>
      <c r="AL23" s="62"/>
      <c r="AM23" s="62">
        <v>0</v>
      </c>
      <c r="AN23" s="62"/>
      <c r="AO23" s="62"/>
      <c r="AP23" s="62"/>
      <c r="AQ23" s="62">
        <v>0</v>
      </c>
      <c r="AR23" s="62"/>
      <c r="AS23" s="62"/>
      <c r="AT23" s="62"/>
      <c r="AU23" s="62">
        <f t="shared" si="5"/>
        <v>0</v>
      </c>
      <c r="AV23" s="54"/>
      <c r="AW23" s="62"/>
      <c r="AX23" s="62"/>
      <c r="AY23" s="62"/>
      <c r="AZ23" s="62">
        <v>0</v>
      </c>
      <c r="BA23" s="62"/>
      <c r="BB23" s="62">
        <v>-50</v>
      </c>
      <c r="BC23" s="62"/>
      <c r="BD23" s="62">
        <f t="shared" si="6"/>
        <v>-43</v>
      </c>
      <c r="BE23" s="54"/>
      <c r="BF23" s="54"/>
    </row>
    <row r="24" spans="2:58">
      <c r="B24" s="31" t="s">
        <v>95</v>
      </c>
      <c r="C24" s="10"/>
      <c r="D24" s="62">
        <v>0</v>
      </c>
      <c r="E24" s="62"/>
      <c r="F24" s="62"/>
      <c r="G24" s="62"/>
      <c r="H24" s="62"/>
      <c r="I24" s="62"/>
      <c r="J24" s="62"/>
      <c r="K24" s="62"/>
      <c r="L24" s="54"/>
      <c r="M24" s="62"/>
      <c r="N24" s="62"/>
      <c r="O24" s="54"/>
      <c r="P24" s="62">
        <v>0</v>
      </c>
      <c r="Q24" s="62">
        <v>0</v>
      </c>
      <c r="R24" s="62"/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/>
      <c r="Y24" s="62"/>
      <c r="Z24" s="62"/>
      <c r="AA24" s="62">
        <v>0</v>
      </c>
      <c r="AB24" s="62"/>
      <c r="AC24" s="62"/>
      <c r="AD24" s="62"/>
      <c r="AE24" s="62">
        <v>0</v>
      </c>
      <c r="AF24" s="62">
        <v>0</v>
      </c>
      <c r="AG24" s="62">
        <v>0</v>
      </c>
      <c r="AH24" s="62"/>
      <c r="AI24" s="62"/>
      <c r="AJ24" s="62"/>
      <c r="AK24" s="62"/>
      <c r="AL24" s="62"/>
      <c r="AM24" s="62">
        <v>0</v>
      </c>
      <c r="AN24" s="62"/>
      <c r="AO24" s="62"/>
      <c r="AP24" s="62"/>
      <c r="AQ24" s="62">
        <v>0</v>
      </c>
      <c r="AR24" s="62"/>
      <c r="AS24" s="62"/>
      <c r="AT24" s="62"/>
      <c r="AU24" s="62">
        <f t="shared" si="5"/>
        <v>0</v>
      </c>
      <c r="AV24" s="54"/>
      <c r="AW24" s="62"/>
      <c r="AX24" s="62"/>
      <c r="AY24" s="62"/>
      <c r="AZ24" s="62">
        <v>0</v>
      </c>
      <c r="BA24" s="62"/>
      <c r="BB24" s="62"/>
      <c r="BC24" s="62"/>
      <c r="BD24" s="62">
        <f t="shared" si="6"/>
        <v>0</v>
      </c>
      <c r="BE24" s="54"/>
      <c r="BF24" s="54"/>
    </row>
    <row r="25" spans="2:58">
      <c r="B25" s="26" t="s">
        <v>96</v>
      </c>
      <c r="C25" s="10"/>
      <c r="D25" s="62">
        <v>-271.25533200000001</v>
      </c>
      <c r="E25" s="62">
        <v>-73.282247058773621</v>
      </c>
      <c r="F25" s="62">
        <v>-43</v>
      </c>
      <c r="G25" s="62">
        <v>-1365</v>
      </c>
      <c r="H25" s="62">
        <v>-1149</v>
      </c>
      <c r="I25" s="62">
        <v>1606</v>
      </c>
      <c r="J25" s="62">
        <v>-2230</v>
      </c>
      <c r="K25" s="62">
        <v>200</v>
      </c>
      <c r="L25" s="54"/>
      <c r="M25" s="62">
        <v>-2230</v>
      </c>
      <c r="N25" s="62">
        <v>200</v>
      </c>
      <c r="O25" s="54"/>
      <c r="P25" s="62">
        <v>-41.612952709999909</v>
      </c>
      <c r="Q25" s="62">
        <v>31.229583619646174</v>
      </c>
      <c r="R25" s="62">
        <v>29.775000268755434</v>
      </c>
      <c r="S25" s="62">
        <v>-271.25533200000001</v>
      </c>
      <c r="T25" s="62">
        <v>34.109353814646134</v>
      </c>
      <c r="U25" s="62">
        <v>35.297767479548476</v>
      </c>
      <c r="V25" s="62">
        <v>-12.46490446045177</v>
      </c>
      <c r="W25" s="62">
        <v>-73.282247058773621</v>
      </c>
      <c r="X25" s="62">
        <v>-44.577206628808462</v>
      </c>
      <c r="Y25" s="62">
        <v>31.72165796267884</v>
      </c>
      <c r="Z25" s="62">
        <v>-424.67108485372216</v>
      </c>
      <c r="AA25" s="62">
        <v>-43</v>
      </c>
      <c r="AB25" s="62">
        <v>125.9511385972079</v>
      </c>
      <c r="AC25" s="62">
        <v>-415.27031287279215</v>
      </c>
      <c r="AD25" s="62">
        <v>-2106.2667275927924</v>
      </c>
      <c r="AE25" s="62">
        <v>-1365</v>
      </c>
      <c r="AF25" s="62">
        <v>822.0754264502915</v>
      </c>
      <c r="AG25" s="62">
        <v>859.87042405029149</v>
      </c>
      <c r="AH25" s="62">
        <v>47</v>
      </c>
      <c r="AI25" s="62">
        <v>-1149</v>
      </c>
      <c r="AJ25" s="62">
        <v>1736.7839778833643</v>
      </c>
      <c r="AK25" s="62">
        <v>1909</v>
      </c>
      <c r="AL25" s="62">
        <v>1052.1982141033641</v>
      </c>
      <c r="AM25" s="62">
        <v>1606</v>
      </c>
      <c r="AN25" s="62">
        <v>-163.79777380700688</v>
      </c>
      <c r="AO25" s="62">
        <v>-185.09400747700687</v>
      </c>
      <c r="AP25" s="62">
        <v>135.27999252299313</v>
      </c>
      <c r="AQ25" s="62">
        <v>-2230</v>
      </c>
      <c r="AR25" s="62">
        <v>1653.8016124353483</v>
      </c>
      <c r="AS25" s="62">
        <v>1192</v>
      </c>
      <c r="AT25" s="62">
        <v>744</v>
      </c>
      <c r="AU25" s="62">
        <f t="shared" si="5"/>
        <v>200</v>
      </c>
      <c r="AV25" s="54"/>
      <c r="AW25" s="62">
        <v>-163.79777380700688</v>
      </c>
      <c r="AX25" s="62">
        <v>-185.09400747700687</v>
      </c>
      <c r="AY25" s="62">
        <v>135</v>
      </c>
      <c r="AZ25" s="62">
        <v>-2230</v>
      </c>
      <c r="BA25" s="62">
        <v>1653.8016124353483</v>
      </c>
      <c r="BB25" s="62">
        <v>1192</v>
      </c>
      <c r="BC25" s="62">
        <v>744</v>
      </c>
      <c r="BD25" s="62">
        <f t="shared" si="6"/>
        <v>200</v>
      </c>
      <c r="BE25" s="54"/>
      <c r="BF25" s="54"/>
    </row>
    <row r="26" spans="2:58" ht="17.399999999999999" customHeight="1">
      <c r="B26" s="26" t="s">
        <v>97</v>
      </c>
      <c r="C26" s="10"/>
      <c r="D26" s="62">
        <v>-21.671821000000001</v>
      </c>
      <c r="E26" s="62">
        <v>-85.768280620410309</v>
      </c>
      <c r="F26" s="62">
        <v>-416</v>
      </c>
      <c r="G26" s="62">
        <v>-790</v>
      </c>
      <c r="H26" s="62">
        <v>-566</v>
      </c>
      <c r="I26" s="62">
        <v>466</v>
      </c>
      <c r="J26" s="62">
        <v>-609</v>
      </c>
      <c r="K26" s="62">
        <v>194</v>
      </c>
      <c r="L26" s="54"/>
      <c r="M26" s="62">
        <v>-609</v>
      </c>
      <c r="N26" s="62">
        <v>226</v>
      </c>
      <c r="O26" s="54"/>
      <c r="P26" s="62">
        <v>-129.30281425983569</v>
      </c>
      <c r="Q26" s="62">
        <v>-179.70864411506059</v>
      </c>
      <c r="R26" s="62">
        <v>-390.7778836948703</v>
      </c>
      <c r="S26" s="62">
        <v>-21.671821000000001</v>
      </c>
      <c r="T26" s="62">
        <v>-152.39010689797252</v>
      </c>
      <c r="U26" s="62">
        <v>-116.33944209374981</v>
      </c>
      <c r="V26" s="62">
        <v>-59.394238188577496</v>
      </c>
      <c r="W26" s="62">
        <v>-85.768280620410309</v>
      </c>
      <c r="X26" s="62">
        <v>-278.78608723134141</v>
      </c>
      <c r="Y26" s="62">
        <v>-350.54372660958018</v>
      </c>
      <c r="Z26" s="62">
        <v>-350.27026084872745</v>
      </c>
      <c r="AA26" s="62">
        <v>-416</v>
      </c>
      <c r="AB26" s="62">
        <v>-3188.2689249930795</v>
      </c>
      <c r="AC26" s="62">
        <v>-227.04661506772371</v>
      </c>
      <c r="AD26" s="62">
        <v>-1685.1494200039613</v>
      </c>
      <c r="AE26" s="62">
        <v>-790</v>
      </c>
      <c r="AF26" s="62">
        <v>406.47411938359903</v>
      </c>
      <c r="AG26" s="62">
        <v>-88.579539325552616</v>
      </c>
      <c r="AH26" s="62">
        <v>-146</v>
      </c>
      <c r="AI26" s="62">
        <v>-566</v>
      </c>
      <c r="AJ26" s="62">
        <v>100.8777427367002</v>
      </c>
      <c r="AK26" s="62">
        <v>195</v>
      </c>
      <c r="AL26" s="62">
        <v>-4.5362979670737777</v>
      </c>
      <c r="AM26" s="62">
        <v>466</v>
      </c>
      <c r="AN26" s="62">
        <v>-957.35958084537845</v>
      </c>
      <c r="AO26" s="62">
        <v>-1361.0906276216465</v>
      </c>
      <c r="AP26" s="62">
        <v>295.61590107017406</v>
      </c>
      <c r="AQ26" s="62">
        <v>-609</v>
      </c>
      <c r="AR26" s="62">
        <v>-150.22374433346249</v>
      </c>
      <c r="AS26" s="62">
        <v>73</v>
      </c>
      <c r="AT26" s="62">
        <v>684</v>
      </c>
      <c r="AU26" s="62">
        <f t="shared" si="5"/>
        <v>194</v>
      </c>
      <c r="AV26" s="54"/>
      <c r="AW26" s="62">
        <v>-957.35958084537845</v>
      </c>
      <c r="AX26" s="62">
        <v>-489.31804762164666</v>
      </c>
      <c r="AY26" s="62">
        <v>53</v>
      </c>
      <c r="AZ26" s="62">
        <v>-609</v>
      </c>
      <c r="BA26" s="62">
        <v>-36.178455266182354</v>
      </c>
      <c r="BB26" s="62">
        <v>263</v>
      </c>
      <c r="BC26" s="62">
        <v>746</v>
      </c>
      <c r="BD26" s="62">
        <f t="shared" si="6"/>
        <v>226</v>
      </c>
      <c r="BE26" s="54"/>
      <c r="BF26" s="54"/>
    </row>
    <row r="27" spans="2:58">
      <c r="B27" s="26" t="s">
        <v>98</v>
      </c>
      <c r="C27" s="10"/>
      <c r="D27" s="62">
        <v>-1326.4242229890413</v>
      </c>
      <c r="E27" s="62">
        <v>-2097.6064420855282</v>
      </c>
      <c r="F27" s="62">
        <v>-2943</v>
      </c>
      <c r="G27" s="62">
        <v>-7110</v>
      </c>
      <c r="H27" s="62">
        <v>-8654</v>
      </c>
      <c r="I27" s="62">
        <v>-2964</v>
      </c>
      <c r="J27" s="62">
        <v>-9856</v>
      </c>
      <c r="K27" s="62">
        <v>-4818</v>
      </c>
      <c r="L27" s="54"/>
      <c r="M27" s="62">
        <v>-9856</v>
      </c>
      <c r="N27" s="62">
        <v>-4818</v>
      </c>
      <c r="O27" s="54"/>
      <c r="P27" s="62">
        <v>402.62114219533203</v>
      </c>
      <c r="Q27" s="62">
        <v>-270.28732645699381</v>
      </c>
      <c r="R27" s="62">
        <v>-983.4531569591237</v>
      </c>
      <c r="S27" s="62">
        <v>-1326.4242229890413</v>
      </c>
      <c r="T27" s="62">
        <v>235.08140230184762</v>
      </c>
      <c r="U27" s="62">
        <v>-1055.5052377677114</v>
      </c>
      <c r="V27" s="62">
        <v>-1298.2791154746744</v>
      </c>
      <c r="W27" s="62">
        <v>-2097.6064420855282</v>
      </c>
      <c r="X27" s="62">
        <v>814.21665552640047</v>
      </c>
      <c r="Y27" s="62">
        <v>-52.951518894290146</v>
      </c>
      <c r="Z27" s="62">
        <v>-1062.9038072075994</v>
      </c>
      <c r="AA27" s="62">
        <v>-2943</v>
      </c>
      <c r="AB27" s="62">
        <v>-943.2072586416308</v>
      </c>
      <c r="AC27" s="62">
        <v>-2415.6356022609452</v>
      </c>
      <c r="AD27" s="62">
        <v>-3684.4143609414195</v>
      </c>
      <c r="AE27" s="62">
        <v>-7110</v>
      </c>
      <c r="AF27" s="62">
        <v>516.28150569565355</v>
      </c>
      <c r="AG27" s="62">
        <v>-2275.3093571357831</v>
      </c>
      <c r="AH27" s="62">
        <v>-4483</v>
      </c>
      <c r="AI27" s="62">
        <v>-8654</v>
      </c>
      <c r="AJ27" s="62">
        <v>2863.324338794574</v>
      </c>
      <c r="AK27" s="62">
        <v>-304</v>
      </c>
      <c r="AL27" s="62">
        <v>-485.99541130595225</v>
      </c>
      <c r="AM27" s="62">
        <v>-2964</v>
      </c>
      <c r="AN27" s="62">
        <v>2366.3650631102137</v>
      </c>
      <c r="AO27" s="62">
        <v>-3881.1251339225387</v>
      </c>
      <c r="AP27" s="62">
        <v>-5372.5490818123808</v>
      </c>
      <c r="AQ27" s="62">
        <v>-9856</v>
      </c>
      <c r="AR27" s="62">
        <v>2576.8736543696282</v>
      </c>
      <c r="AS27" s="62">
        <v>-2591</v>
      </c>
      <c r="AT27" s="62">
        <v>-913</v>
      </c>
      <c r="AU27" s="62">
        <f t="shared" si="5"/>
        <v>-4818</v>
      </c>
      <c r="AV27" s="54"/>
      <c r="AW27" s="62">
        <v>2366.3650631102137</v>
      </c>
      <c r="AX27" s="62">
        <v>-3881.1251339225387</v>
      </c>
      <c r="AY27" s="62">
        <v>-5373</v>
      </c>
      <c r="AZ27" s="62">
        <v>-9856</v>
      </c>
      <c r="BA27" s="62">
        <v>2576.8736543696282</v>
      </c>
      <c r="BB27" s="62">
        <v>-2591</v>
      </c>
      <c r="BC27" s="62">
        <v>-913</v>
      </c>
      <c r="BD27" s="62">
        <f t="shared" si="6"/>
        <v>-4818</v>
      </c>
      <c r="BE27" s="54"/>
      <c r="BF27" s="54"/>
    </row>
    <row r="28" spans="2:58">
      <c r="B28" s="26" t="s">
        <v>99</v>
      </c>
      <c r="C28" s="10"/>
      <c r="D28" s="62">
        <v>1416.721452</v>
      </c>
      <c r="E28" s="62">
        <v>1422.0615297958882</v>
      </c>
      <c r="F28" s="62">
        <v>1514</v>
      </c>
      <c r="G28" s="62">
        <v>4866</v>
      </c>
      <c r="H28" s="62">
        <v>8579</v>
      </c>
      <c r="I28" s="62">
        <v>-1115</v>
      </c>
      <c r="J28" s="62">
        <v>5034</v>
      </c>
      <c r="K28" s="62">
        <v>3404</v>
      </c>
      <c r="L28" s="54"/>
      <c r="M28" s="62">
        <v>5034</v>
      </c>
      <c r="N28" s="62">
        <v>3404</v>
      </c>
      <c r="O28" s="54"/>
      <c r="P28" s="62">
        <v>-895.9954082201217</v>
      </c>
      <c r="Q28" s="62">
        <v>-214.71846832552532</v>
      </c>
      <c r="R28" s="62">
        <v>814.26632339926948</v>
      </c>
      <c r="S28" s="62">
        <v>1416.721452</v>
      </c>
      <c r="T28" s="62">
        <v>-982.76527994409003</v>
      </c>
      <c r="U28" s="62">
        <v>568.4446274235446</v>
      </c>
      <c r="V28" s="62">
        <v>965.62633422720455</v>
      </c>
      <c r="W28" s="62">
        <v>1422.0615297958882</v>
      </c>
      <c r="X28" s="62">
        <v>-1442.3834218618965</v>
      </c>
      <c r="Y28" s="62">
        <v>-1290.9834741632803</v>
      </c>
      <c r="Z28" s="62">
        <v>696.45807274315018</v>
      </c>
      <c r="AA28" s="62">
        <v>1514</v>
      </c>
      <c r="AB28" s="62">
        <v>244.44325971053371</v>
      </c>
      <c r="AC28" s="62">
        <v>-90.296206057280912</v>
      </c>
      <c r="AD28" s="62">
        <v>2088.4765487521195</v>
      </c>
      <c r="AE28" s="62">
        <v>4866</v>
      </c>
      <c r="AF28" s="62">
        <v>-2964.7247690562149</v>
      </c>
      <c r="AG28" s="62">
        <v>-908.2536450212051</v>
      </c>
      <c r="AH28" s="62">
        <v>2012</v>
      </c>
      <c r="AI28" s="62">
        <v>8579</v>
      </c>
      <c r="AJ28" s="62">
        <v>-8816.2457751660313</v>
      </c>
      <c r="AK28" s="62">
        <v>-6719</v>
      </c>
      <c r="AL28" s="62">
        <v>-3745.188135978713</v>
      </c>
      <c r="AM28" s="62">
        <v>-1115</v>
      </c>
      <c r="AN28" s="62">
        <v>-6647.3043339137175</v>
      </c>
      <c r="AO28" s="62">
        <v>-1401.5390606265319</v>
      </c>
      <c r="AP28" s="62">
        <v>156.83190389647007</v>
      </c>
      <c r="AQ28" s="62">
        <v>5034</v>
      </c>
      <c r="AR28" s="62">
        <v>-8468.1562790977223</v>
      </c>
      <c r="AS28" s="62">
        <v>-4787</v>
      </c>
      <c r="AT28" s="62">
        <v>-3256</v>
      </c>
      <c r="AU28" s="62">
        <f t="shared" si="5"/>
        <v>3404</v>
      </c>
      <c r="AV28" s="54"/>
      <c r="AW28" s="62">
        <v>-6647.0043339137201</v>
      </c>
      <c r="AX28" s="62">
        <v>-1401.5390606265319</v>
      </c>
      <c r="AY28" s="62">
        <v>157</v>
      </c>
      <c r="AZ28" s="62">
        <v>5034</v>
      </c>
      <c r="BA28" s="62">
        <v>-8468.1568967931216</v>
      </c>
      <c r="BB28" s="62">
        <v>-4787</v>
      </c>
      <c r="BC28" s="62">
        <v>-3256</v>
      </c>
      <c r="BD28" s="62">
        <f t="shared" si="6"/>
        <v>3404</v>
      </c>
      <c r="BE28" s="54"/>
      <c r="BF28" s="54"/>
    </row>
    <row r="29" spans="2:58" ht="28.8">
      <c r="B29" s="26" t="s">
        <v>100</v>
      </c>
      <c r="C29" s="10"/>
      <c r="D29" s="62">
        <v>152.3381936678565</v>
      </c>
      <c r="E29" s="62">
        <v>741.93448955328302</v>
      </c>
      <c r="F29" s="62">
        <v>581</v>
      </c>
      <c r="G29" s="62">
        <v>167</v>
      </c>
      <c r="H29" s="62">
        <v>845</v>
      </c>
      <c r="I29" s="62">
        <v>1095</v>
      </c>
      <c r="J29" s="62">
        <v>391</v>
      </c>
      <c r="K29" s="62">
        <v>1172</v>
      </c>
      <c r="L29" s="54"/>
      <c r="M29" s="62">
        <v>526</v>
      </c>
      <c r="N29" s="62">
        <v>1164</v>
      </c>
      <c r="O29" s="54"/>
      <c r="P29" s="62">
        <v>-234.76394404186419</v>
      </c>
      <c r="Q29" s="62">
        <v>-181.85562791095035</v>
      </c>
      <c r="R29" s="62">
        <v>112.06701087749572</v>
      </c>
      <c r="S29" s="62">
        <v>152.3381936678565</v>
      </c>
      <c r="T29" s="62">
        <v>109.00350448371888</v>
      </c>
      <c r="U29" s="62">
        <v>102.37580459701363</v>
      </c>
      <c r="V29" s="62">
        <v>342.85168048541874</v>
      </c>
      <c r="W29" s="62">
        <v>741.93448955328302</v>
      </c>
      <c r="X29" s="62">
        <v>-592.57667320793632</v>
      </c>
      <c r="Y29" s="62">
        <v>-917.42889444022831</v>
      </c>
      <c r="Z29" s="62">
        <v>-569.53099895205776</v>
      </c>
      <c r="AA29" s="62">
        <v>581</v>
      </c>
      <c r="AB29" s="62">
        <v>866.22818131878364</v>
      </c>
      <c r="AC29" s="62">
        <v>-1166.2789158113897</v>
      </c>
      <c r="AD29" s="62">
        <v>-189.27221031743801</v>
      </c>
      <c r="AE29" s="62">
        <v>167</v>
      </c>
      <c r="AF29" s="62">
        <v>202.56880481799553</v>
      </c>
      <c r="AG29" s="62">
        <v>219.54651095054999</v>
      </c>
      <c r="AH29" s="62">
        <v>474</v>
      </c>
      <c r="AI29" s="62">
        <v>845</v>
      </c>
      <c r="AJ29" s="62">
        <v>-348.05829204969103</v>
      </c>
      <c r="AK29" s="62">
        <v>-77</v>
      </c>
      <c r="AL29" s="62">
        <v>20.684020675035161</v>
      </c>
      <c r="AM29" s="62">
        <v>1095</v>
      </c>
      <c r="AN29" s="62">
        <v>298.5215864127523</v>
      </c>
      <c r="AO29" s="62">
        <v>-368</v>
      </c>
      <c r="AP29" s="62">
        <v>-2173.4414135399088</v>
      </c>
      <c r="AQ29" s="62">
        <v>391</v>
      </c>
      <c r="AR29" s="62">
        <v>-555.33776199163367</v>
      </c>
      <c r="AS29" s="62">
        <v>-530</v>
      </c>
      <c r="AT29" s="62">
        <v>-879</v>
      </c>
      <c r="AU29" s="62">
        <f t="shared" si="5"/>
        <v>1172</v>
      </c>
      <c r="AV29" s="54"/>
      <c r="AW29" s="62">
        <v>298.5215864127523</v>
      </c>
      <c r="AX29" s="62">
        <v>-861</v>
      </c>
      <c r="AY29" s="62">
        <v>-1779</v>
      </c>
      <c r="AZ29" s="62">
        <v>526</v>
      </c>
      <c r="BA29" s="62">
        <v>-469.63194393742526</v>
      </c>
      <c r="BB29" s="62">
        <v>-507</v>
      </c>
      <c r="BC29" s="62">
        <v>-876</v>
      </c>
      <c r="BD29" s="62">
        <f t="shared" si="6"/>
        <v>1164</v>
      </c>
      <c r="BE29" s="54"/>
      <c r="BF29" s="54"/>
    </row>
    <row r="30" spans="2:58">
      <c r="B30" s="26" t="s">
        <v>101</v>
      </c>
      <c r="C30" s="10"/>
      <c r="D30" s="62"/>
      <c r="E30" s="62"/>
      <c r="F30" s="62"/>
      <c r="G30" s="62">
        <v>-69</v>
      </c>
      <c r="H30" s="62">
        <v>538</v>
      </c>
      <c r="I30" s="62">
        <v>-210</v>
      </c>
      <c r="J30" s="62">
        <v>114</v>
      </c>
      <c r="K30" s="62">
        <v>-284</v>
      </c>
      <c r="L30" s="54"/>
      <c r="M30" s="62">
        <v>114</v>
      </c>
      <c r="N30" s="62">
        <v>-284</v>
      </c>
      <c r="O30" s="54"/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-69</v>
      </c>
      <c r="AF30" s="62">
        <v>0</v>
      </c>
      <c r="AG30" s="62">
        <v>84</v>
      </c>
      <c r="AH30" s="62">
        <v>195</v>
      </c>
      <c r="AI30" s="62">
        <v>538</v>
      </c>
      <c r="AJ30" s="62">
        <v>0</v>
      </c>
      <c r="AK30" s="62">
        <v>-624</v>
      </c>
      <c r="AL30" s="62"/>
      <c r="AM30" s="62">
        <v>-210</v>
      </c>
      <c r="AN30" s="62">
        <v>0</v>
      </c>
      <c r="AO30" s="62">
        <v>64</v>
      </c>
      <c r="AP30" s="62">
        <v>0</v>
      </c>
      <c r="AQ30" s="62">
        <v>114</v>
      </c>
      <c r="AR30" s="62">
        <v>0</v>
      </c>
      <c r="AS30" s="62">
        <v>-251</v>
      </c>
      <c r="AT30" s="62">
        <v>-196</v>
      </c>
      <c r="AU30" s="62">
        <f t="shared" si="5"/>
        <v>-284</v>
      </c>
      <c r="AV30" s="54"/>
      <c r="AW30" s="62">
        <v>0</v>
      </c>
      <c r="AX30" s="62">
        <v>64</v>
      </c>
      <c r="AY30" s="62">
        <v>138</v>
      </c>
      <c r="AZ30" s="62">
        <v>114</v>
      </c>
      <c r="BA30" s="62"/>
      <c r="BB30" s="62">
        <v>-251</v>
      </c>
      <c r="BC30" s="62">
        <v>-196</v>
      </c>
      <c r="BD30" s="62">
        <f t="shared" si="6"/>
        <v>-284</v>
      </c>
      <c r="BE30" s="54"/>
      <c r="BF30" s="54"/>
    </row>
    <row r="31" spans="2:58">
      <c r="B31" s="23" t="s">
        <v>102</v>
      </c>
      <c r="C31" s="10"/>
      <c r="D31" s="62"/>
      <c r="E31" s="62"/>
      <c r="F31" s="62"/>
      <c r="G31" s="62">
        <v>-2042</v>
      </c>
      <c r="H31" s="62">
        <v>-1857</v>
      </c>
      <c r="I31" s="62">
        <v>-1658</v>
      </c>
      <c r="J31" s="62">
        <v>-1629</v>
      </c>
      <c r="K31" s="62">
        <v>-2027</v>
      </c>
      <c r="L31" s="54"/>
      <c r="M31" s="62">
        <v>-4233</v>
      </c>
      <c r="N31" s="62">
        <v>-4599</v>
      </c>
      <c r="O31" s="54"/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-2042</v>
      </c>
      <c r="AF31" s="62">
        <v>-508.23687204999999</v>
      </c>
      <c r="AG31" s="62">
        <v>-977.08399108000003</v>
      </c>
      <c r="AH31" s="62">
        <v>-1423</v>
      </c>
      <c r="AI31" s="62">
        <v>-1857</v>
      </c>
      <c r="AJ31" s="62">
        <v>-423.85531900000001</v>
      </c>
      <c r="AK31" s="62">
        <v>-828</v>
      </c>
      <c r="AL31" s="62">
        <v>-1196.605615839999</v>
      </c>
      <c r="AM31" s="62">
        <v>-1658</v>
      </c>
      <c r="AN31" s="62">
        <v>-496.62747088999998</v>
      </c>
      <c r="AO31" s="62">
        <v>-755.69739693999998</v>
      </c>
      <c r="AP31" s="62">
        <v>-1112.3942013400001</v>
      </c>
      <c r="AQ31" s="62">
        <v>-1629</v>
      </c>
      <c r="AR31" s="62">
        <v>-439.33713669000008</v>
      </c>
      <c r="AS31" s="62">
        <v>-991</v>
      </c>
      <c r="AT31" s="62">
        <v>-1396</v>
      </c>
      <c r="AU31" s="62">
        <f t="shared" si="5"/>
        <v>-2027</v>
      </c>
      <c r="AV31" s="54"/>
      <c r="AW31" s="62">
        <v>-496.62747088999998</v>
      </c>
      <c r="AX31" s="62">
        <v>-2248</v>
      </c>
      <c r="AY31" s="62">
        <v>-2896</v>
      </c>
      <c r="AZ31" s="62">
        <v>-4233</v>
      </c>
      <c r="BA31" s="62">
        <v>-1447.7373034845511</v>
      </c>
      <c r="BB31" s="62">
        <v>-2248</v>
      </c>
      <c r="BC31" s="62">
        <v>-3194</v>
      </c>
      <c r="BD31" s="62">
        <f t="shared" si="6"/>
        <v>-4599</v>
      </c>
      <c r="BE31" s="54"/>
      <c r="BF31" s="54"/>
    </row>
    <row r="32" spans="2:58">
      <c r="B32" s="23" t="s">
        <v>103</v>
      </c>
      <c r="C32" s="10"/>
      <c r="D32" s="62"/>
      <c r="E32" s="62"/>
      <c r="F32" s="62"/>
      <c r="G32" s="62">
        <v>165</v>
      </c>
      <c r="H32" s="62">
        <v>45</v>
      </c>
      <c r="I32" s="62">
        <v>12</v>
      </c>
      <c r="J32" s="62">
        <v>5</v>
      </c>
      <c r="K32" s="62">
        <v>4</v>
      </c>
      <c r="L32" s="54"/>
      <c r="M32" s="62">
        <v>5</v>
      </c>
      <c r="N32" s="62">
        <v>4</v>
      </c>
      <c r="O32" s="54"/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165</v>
      </c>
      <c r="AF32" s="62">
        <v>15.010019810000001</v>
      </c>
      <c r="AG32" s="62">
        <v>21.745188589999998</v>
      </c>
      <c r="AH32" s="62">
        <v>29</v>
      </c>
      <c r="AI32" s="62">
        <v>45</v>
      </c>
      <c r="AJ32" s="62">
        <v>7.2817392900000009</v>
      </c>
      <c r="AK32" s="62">
        <v>8</v>
      </c>
      <c r="AL32" s="62">
        <v>11.252634699999987</v>
      </c>
      <c r="AM32" s="62">
        <v>12</v>
      </c>
      <c r="AN32" s="62">
        <v>1.3294196700000003</v>
      </c>
      <c r="AO32" s="62">
        <v>1.6602507599999994</v>
      </c>
      <c r="AP32" s="62">
        <v>2.5160913900000006</v>
      </c>
      <c r="AQ32" s="62">
        <v>5</v>
      </c>
      <c r="AR32" s="62">
        <v>2.224523570000001</v>
      </c>
      <c r="AS32" s="62">
        <v>3</v>
      </c>
      <c r="AT32" s="62">
        <v>3</v>
      </c>
      <c r="AU32" s="62">
        <f t="shared" si="5"/>
        <v>4</v>
      </c>
      <c r="AV32" s="54"/>
      <c r="AW32" s="62">
        <v>1.3294196700000003</v>
      </c>
      <c r="AX32" s="62">
        <v>1.6602507599999994</v>
      </c>
      <c r="AY32" s="62">
        <v>3</v>
      </c>
      <c r="AZ32" s="62">
        <v>5</v>
      </c>
      <c r="BA32" s="62">
        <v>2.224523570000001</v>
      </c>
      <c r="BB32" s="62">
        <v>3</v>
      </c>
      <c r="BC32" s="62">
        <v>3</v>
      </c>
      <c r="BD32" s="62">
        <f t="shared" si="6"/>
        <v>4</v>
      </c>
      <c r="BE32" s="54"/>
      <c r="BF32" s="54"/>
    </row>
    <row r="33" spans="2:58">
      <c r="B33" s="20" t="s">
        <v>104</v>
      </c>
      <c r="C33" s="11"/>
      <c r="D33" s="58"/>
      <c r="E33" s="58"/>
      <c r="F33" s="58"/>
      <c r="G33" s="58">
        <v>-1190</v>
      </c>
      <c r="H33" s="58">
        <v>-1468</v>
      </c>
      <c r="I33" s="58">
        <v>-1523</v>
      </c>
      <c r="J33" s="58">
        <v>-1083</v>
      </c>
      <c r="K33" s="58">
        <v>-1696</v>
      </c>
      <c r="L33" s="54"/>
      <c r="M33" s="58">
        <v>-1083</v>
      </c>
      <c r="N33" s="58">
        <v>-1696</v>
      </c>
      <c r="O33" s="54"/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-1190</v>
      </c>
      <c r="AF33" s="58">
        <v>-383.07400000000001</v>
      </c>
      <c r="AG33" s="58">
        <v>-696.53</v>
      </c>
      <c r="AH33" s="58">
        <v>-893</v>
      </c>
      <c r="AI33" s="58">
        <v>-1468</v>
      </c>
      <c r="AJ33" s="58">
        <v>-599.85322299999996</v>
      </c>
      <c r="AK33" s="58">
        <v>-679</v>
      </c>
      <c r="AL33" s="58">
        <v>-974.38931300000013</v>
      </c>
      <c r="AM33" s="58">
        <v>-1523</v>
      </c>
      <c r="AN33" s="58">
        <v>-306.39809000000002</v>
      </c>
      <c r="AO33" s="58">
        <v>-393.89899975000003</v>
      </c>
      <c r="AP33" s="58">
        <v>-617.50719475000005</v>
      </c>
      <c r="AQ33" s="58">
        <v>-1083</v>
      </c>
      <c r="AR33" s="58">
        <v>-657.20560140562316</v>
      </c>
      <c r="AS33" s="58">
        <v>-659</v>
      </c>
      <c r="AT33" s="58">
        <v>-957</v>
      </c>
      <c r="AU33" s="58">
        <f t="shared" si="5"/>
        <v>-1696</v>
      </c>
      <c r="AV33" s="54"/>
      <c r="AW33" s="58">
        <v>-306.39809000000002</v>
      </c>
      <c r="AX33" s="58">
        <v>-393.89899975000003</v>
      </c>
      <c r="AY33" s="58">
        <v>-618</v>
      </c>
      <c r="AZ33" s="58">
        <v>-1083</v>
      </c>
      <c r="BA33" s="58">
        <v>-657.20560140562316</v>
      </c>
      <c r="BB33" s="58">
        <v>-659</v>
      </c>
      <c r="BC33" s="58">
        <v>-957</v>
      </c>
      <c r="BD33" s="58">
        <f t="shared" si="6"/>
        <v>-1696</v>
      </c>
      <c r="BE33" s="54"/>
      <c r="BF33" s="54"/>
    </row>
    <row r="34" spans="2:58">
      <c r="B34" s="18" t="s">
        <v>105</v>
      </c>
      <c r="C34" s="8"/>
      <c r="D34" s="63">
        <v>1559.689328162445</v>
      </c>
      <c r="E34" s="63">
        <v>2025.2901982548892</v>
      </c>
      <c r="F34" s="63">
        <v>1491.8883747561622</v>
      </c>
      <c r="G34" s="63">
        <v>-678</v>
      </c>
      <c r="H34" s="63">
        <v>5801</v>
      </c>
      <c r="I34" s="63">
        <v>7080</v>
      </c>
      <c r="J34" s="63">
        <v>3491</v>
      </c>
      <c r="K34" s="63">
        <f>SUM(K11:K33)</f>
        <v>11222</v>
      </c>
      <c r="L34" s="54"/>
      <c r="M34" s="63">
        <v>9613</v>
      </c>
      <c r="N34" s="63">
        <f>SUM(N11:N33)</f>
        <v>17811</v>
      </c>
      <c r="O34" s="54"/>
      <c r="P34" s="63">
        <v>-1349.2274648131652</v>
      </c>
      <c r="Q34" s="63">
        <v>-1288.4107633476456</v>
      </c>
      <c r="R34" s="63">
        <v>-298.4094336744987</v>
      </c>
      <c r="S34" s="63">
        <v>1559.689328162445</v>
      </c>
      <c r="T34" s="63">
        <v>-1279.4000889446704</v>
      </c>
      <c r="U34" s="63">
        <v>-695.19083928575651</v>
      </c>
      <c r="V34" s="63">
        <v>545.60917599758704</v>
      </c>
      <c r="W34" s="63">
        <v>2025.2901982548906</v>
      </c>
      <c r="X34" s="63">
        <v>-1580.8278050447832</v>
      </c>
      <c r="Y34" s="63">
        <v>-2037.4906527789776</v>
      </c>
      <c r="Z34" s="63">
        <v>-7.0764424851329295</v>
      </c>
      <c r="AA34" s="63">
        <v>1491.8883747561622</v>
      </c>
      <c r="AB34" s="63">
        <v>-2230.7201419843386</v>
      </c>
      <c r="AC34" s="63">
        <v>-3039.4686479568704</v>
      </c>
      <c r="AD34" s="63">
        <v>-3056.2030053395938</v>
      </c>
      <c r="AE34" s="63">
        <v>-678</v>
      </c>
      <c r="AF34" s="63">
        <v>-806.05445562084674</v>
      </c>
      <c r="AG34" s="63">
        <v>-559.92522138460595</v>
      </c>
      <c r="AH34" s="63">
        <v>1538</v>
      </c>
      <c r="AI34" s="63">
        <v>5801</v>
      </c>
      <c r="AJ34" s="63">
        <v>-4429.3418745760237</v>
      </c>
      <c r="AK34" s="63">
        <v>-3423</v>
      </c>
      <c r="AL34" s="63">
        <v>1396.5818980826998</v>
      </c>
      <c r="AM34" s="63">
        <v>7080</v>
      </c>
      <c r="AN34" s="63">
        <v>-4399.9688452405699</v>
      </c>
      <c r="AO34" s="63">
        <v>-3679.9573900164669</v>
      </c>
      <c r="AP34" s="63">
        <f>SUM(AP11:AP33)</f>
        <v>-305.79399422863429</v>
      </c>
      <c r="AQ34" s="63">
        <v>3491</v>
      </c>
      <c r="AR34" s="63">
        <v>-3976.3128931249776</v>
      </c>
      <c r="AS34" s="63">
        <v>-3062</v>
      </c>
      <c r="AT34" s="63">
        <f>SUM(AT11:AT33)</f>
        <v>3869</v>
      </c>
      <c r="AU34" s="63">
        <f t="shared" si="5"/>
        <v>11222</v>
      </c>
      <c r="AV34" s="54"/>
      <c r="AW34" s="63">
        <v>-2352.7556666663932</v>
      </c>
      <c r="AX34" s="63">
        <v>-733.34721452079862</v>
      </c>
      <c r="AY34" s="63">
        <f>SUM(AY11:AY33)</f>
        <v>4458</v>
      </c>
      <c r="AZ34" s="63">
        <v>9613</v>
      </c>
      <c r="BA34" s="63">
        <v>-2494.8075083501303</v>
      </c>
      <c r="BB34" s="63">
        <v>428</v>
      </c>
      <c r="BC34" s="63">
        <f>SUM(BC11:BC33)</f>
        <v>8886</v>
      </c>
      <c r="BD34" s="63">
        <f t="shared" si="6"/>
        <v>17811</v>
      </c>
      <c r="BE34" s="54"/>
      <c r="BF34" s="54"/>
    </row>
    <row r="35" spans="2:58">
      <c r="C35" s="10"/>
      <c r="D35" s="62"/>
      <c r="E35" s="62"/>
      <c r="F35" s="62"/>
      <c r="G35" s="62"/>
      <c r="H35" s="62"/>
      <c r="I35" s="62"/>
      <c r="J35" s="62"/>
      <c r="K35" s="62"/>
      <c r="L35" s="54"/>
      <c r="M35" s="62"/>
      <c r="N35" s="62"/>
      <c r="O35" s="5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54"/>
      <c r="AW35" s="62"/>
      <c r="AX35" s="62"/>
      <c r="AY35" s="62"/>
      <c r="AZ35" s="62"/>
      <c r="BA35" s="62"/>
      <c r="BB35" s="62"/>
      <c r="BC35" s="62"/>
      <c r="BD35" s="62"/>
      <c r="BE35" s="54"/>
      <c r="BF35" s="54"/>
    </row>
    <row r="36" spans="2:58">
      <c r="B36" s="25" t="s">
        <v>106</v>
      </c>
      <c r="C36" s="10"/>
      <c r="D36" s="62"/>
      <c r="E36" s="62"/>
      <c r="F36" s="62"/>
      <c r="G36" s="62"/>
      <c r="H36" s="62"/>
      <c r="I36" s="62"/>
      <c r="J36" s="62"/>
      <c r="K36" s="62"/>
      <c r="L36" s="54"/>
      <c r="M36" s="62"/>
      <c r="N36" s="62"/>
      <c r="O36" s="5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54"/>
      <c r="AW36" s="62"/>
      <c r="AX36" s="62"/>
      <c r="AY36" s="62"/>
      <c r="AZ36" s="62"/>
      <c r="BA36" s="62"/>
      <c r="BB36" s="62"/>
      <c r="BC36" s="62"/>
      <c r="BD36" s="62"/>
      <c r="BE36" s="54"/>
      <c r="BF36" s="54"/>
    </row>
    <row r="37" spans="2:58">
      <c r="B37" s="26"/>
      <c r="C37" s="10"/>
      <c r="D37" s="62"/>
      <c r="E37" s="62"/>
      <c r="F37" s="62"/>
      <c r="G37" s="62"/>
      <c r="H37" s="62"/>
      <c r="I37" s="62"/>
      <c r="J37" s="62"/>
      <c r="K37" s="62"/>
      <c r="L37" s="54"/>
      <c r="M37" s="62"/>
      <c r="N37" s="62"/>
      <c r="O37" s="5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54"/>
      <c r="AW37" s="62"/>
      <c r="AX37" s="62"/>
      <c r="AY37" s="62"/>
      <c r="AZ37" s="62"/>
      <c r="BA37" s="62"/>
      <c r="BB37" s="62"/>
      <c r="BC37" s="62"/>
      <c r="BD37" s="62"/>
      <c r="BE37" s="54"/>
      <c r="BF37" s="54"/>
    </row>
    <row r="38" spans="2:58">
      <c r="B38" s="23" t="s">
        <v>107</v>
      </c>
      <c r="C38" s="10"/>
      <c r="D38" s="62">
        <v>-793.98900000000003</v>
      </c>
      <c r="E38" s="62">
        <v>-640.07299999999998</v>
      </c>
      <c r="F38" s="62">
        <v>-1577</v>
      </c>
      <c r="G38" s="62">
        <v>-4589</v>
      </c>
      <c r="H38" s="62">
        <v>-1468</v>
      </c>
      <c r="I38" s="62">
        <v>-2072</v>
      </c>
      <c r="J38" s="62">
        <v>-3487</v>
      </c>
      <c r="K38" s="62">
        <v>-2789</v>
      </c>
      <c r="L38" s="54"/>
      <c r="M38" s="62">
        <v>-3487</v>
      </c>
      <c r="N38" s="62">
        <v>-2789</v>
      </c>
      <c r="O38" s="54"/>
      <c r="P38" s="62">
        <v>-94.576955272711857</v>
      </c>
      <c r="Q38" s="62">
        <v>-279.56900000000002</v>
      </c>
      <c r="R38" s="62">
        <v>-529.08600000000001</v>
      </c>
      <c r="S38" s="62">
        <v>-793.98900000000003</v>
      </c>
      <c r="T38" s="62">
        <v>-40</v>
      </c>
      <c r="U38" s="62">
        <v>-137.608</v>
      </c>
      <c r="V38" s="62">
        <v>-295.00900000000001</v>
      </c>
      <c r="W38" s="62">
        <v>-640.07299999999998</v>
      </c>
      <c r="X38" s="62">
        <v>-132.68186234340223</v>
      </c>
      <c r="Y38" s="62">
        <v>-441</v>
      </c>
      <c r="Z38" s="62">
        <v>-854</v>
      </c>
      <c r="AA38" s="62">
        <v>-1577</v>
      </c>
      <c r="AB38" s="62">
        <v>-815.96151671186465</v>
      </c>
      <c r="AC38" s="62">
        <v>-933.46726116949174</v>
      </c>
      <c r="AD38" s="62">
        <v>-3450.0408016459892</v>
      </c>
      <c r="AE38" s="62">
        <v>-4589</v>
      </c>
      <c r="AF38" s="62">
        <v>-210.3227729579101</v>
      </c>
      <c r="AG38" s="62">
        <v>-431.12813098597434</v>
      </c>
      <c r="AH38" s="62">
        <v>-749</v>
      </c>
      <c r="AI38" s="62">
        <v>-1468</v>
      </c>
      <c r="AJ38" s="62">
        <v>-226.02024462223008</v>
      </c>
      <c r="AK38" s="62">
        <v>-506</v>
      </c>
      <c r="AL38" s="62">
        <v>-897.32953833200543</v>
      </c>
      <c r="AM38" s="62">
        <v>-2072</v>
      </c>
      <c r="AN38" s="62">
        <v>-295.96477162508154</v>
      </c>
      <c r="AO38" s="62">
        <v>-686.1137846804188</v>
      </c>
      <c r="AP38" s="62">
        <v>-1187.5356361239897</v>
      </c>
      <c r="AQ38" s="62">
        <v>-3487</v>
      </c>
      <c r="AR38" s="62">
        <v>-831.60388485634826</v>
      </c>
      <c r="AS38" s="62">
        <v>-1248</v>
      </c>
      <c r="AT38" s="62">
        <v>-2027</v>
      </c>
      <c r="AU38" s="62">
        <f t="shared" ref="AU38:AU43" si="7">K38</f>
        <v>-2789</v>
      </c>
      <c r="AV38" s="54"/>
      <c r="AW38" s="62">
        <v>-295.96477162508154</v>
      </c>
      <c r="AX38" s="62">
        <v>-686.1137846804188</v>
      </c>
      <c r="AY38" s="62">
        <v>-1188</v>
      </c>
      <c r="AZ38" s="62">
        <v>-3487</v>
      </c>
      <c r="BA38" s="62">
        <v>-831.60388485634826</v>
      </c>
      <c r="BB38" s="62">
        <v>-1248</v>
      </c>
      <c r="BC38" s="62">
        <v>-2027</v>
      </c>
      <c r="BD38" s="62">
        <f t="shared" ref="BD38:BD44" si="8">N38</f>
        <v>-2789</v>
      </c>
      <c r="BE38" s="54"/>
      <c r="BF38" s="54"/>
    </row>
    <row r="39" spans="2:58">
      <c r="B39" s="23" t="s">
        <v>108</v>
      </c>
      <c r="C39" s="10"/>
      <c r="D39" s="62">
        <v>-66.129000000000005</v>
      </c>
      <c r="E39" s="62">
        <v>-132.221</v>
      </c>
      <c r="F39" s="62">
        <v>-369</v>
      </c>
      <c r="G39" s="62">
        <v>-719</v>
      </c>
      <c r="H39" s="62">
        <v>-279</v>
      </c>
      <c r="I39" s="62">
        <v>-396</v>
      </c>
      <c r="J39" s="62">
        <v>-307</v>
      </c>
      <c r="K39" s="62">
        <v>-718</v>
      </c>
      <c r="L39" s="54"/>
      <c r="M39" s="62">
        <v>-307</v>
      </c>
      <c r="N39" s="62">
        <v>-718</v>
      </c>
      <c r="O39" s="54"/>
      <c r="P39" s="62">
        <v>-6.1568600000000009</v>
      </c>
      <c r="Q39" s="62">
        <v>-31.792000000000002</v>
      </c>
      <c r="R39" s="62">
        <v>-59.744999999999997</v>
      </c>
      <c r="S39" s="62">
        <v>-66.129000000000005</v>
      </c>
      <c r="T39" s="62">
        <v>-5.1050000000000004</v>
      </c>
      <c r="U39" s="62">
        <v>-29.966000000000001</v>
      </c>
      <c r="V39" s="62">
        <v>-54.720999999999997</v>
      </c>
      <c r="W39" s="62">
        <v>-132.221</v>
      </c>
      <c r="X39" s="62">
        <v>-34.427999999999997</v>
      </c>
      <c r="Y39" s="62">
        <v>-119.63</v>
      </c>
      <c r="Z39" s="62">
        <v>-201.60821154195833</v>
      </c>
      <c r="AA39" s="62">
        <v>-369</v>
      </c>
      <c r="AB39" s="62">
        <v>-153.17893914406778</v>
      </c>
      <c r="AC39" s="62">
        <v>-745.09748401694924</v>
      </c>
      <c r="AD39" s="62">
        <v>-887.23948401694918</v>
      </c>
      <c r="AE39" s="62">
        <v>-719</v>
      </c>
      <c r="AF39" s="62">
        <v>-58.500999999999998</v>
      </c>
      <c r="AG39" s="62">
        <v>-151.0377580898853</v>
      </c>
      <c r="AH39" s="62">
        <v>-196</v>
      </c>
      <c r="AI39" s="62">
        <v>-279</v>
      </c>
      <c r="AJ39" s="62">
        <v>-26.824534151110662</v>
      </c>
      <c r="AK39" s="62">
        <v>-57</v>
      </c>
      <c r="AL39" s="62">
        <v>-345.12946740980152</v>
      </c>
      <c r="AM39" s="62">
        <v>-396</v>
      </c>
      <c r="AN39" s="62">
        <v>-21.837898416282535</v>
      </c>
      <c r="AO39" s="62">
        <v>-43.865142191455845</v>
      </c>
      <c r="AP39" s="62">
        <v>-95.182255848079109</v>
      </c>
      <c r="AQ39" s="62">
        <v>-307</v>
      </c>
      <c r="AR39" s="62">
        <v>-30.961450251944015</v>
      </c>
      <c r="AS39" s="62">
        <v>-368</v>
      </c>
      <c r="AT39" s="62">
        <v>-539</v>
      </c>
      <c r="AU39" s="62">
        <f t="shared" si="7"/>
        <v>-718</v>
      </c>
      <c r="AV39" s="54"/>
      <c r="AW39" s="62">
        <v>-21.837940523248164</v>
      </c>
      <c r="AX39" s="62">
        <v>-43.865863695465031</v>
      </c>
      <c r="AY39" s="62">
        <v>-95</v>
      </c>
      <c r="AZ39" s="62">
        <v>-307</v>
      </c>
      <c r="BA39" s="62">
        <v>-30.960761919008569</v>
      </c>
      <c r="BB39" s="62">
        <v>-368</v>
      </c>
      <c r="BC39" s="62">
        <v>-539</v>
      </c>
      <c r="BD39" s="62">
        <f t="shared" si="8"/>
        <v>-718</v>
      </c>
      <c r="BE39" s="54"/>
      <c r="BF39" s="54"/>
    </row>
    <row r="40" spans="2:58">
      <c r="B40" s="23" t="s">
        <v>109</v>
      </c>
      <c r="C40" s="10"/>
      <c r="D40" s="62">
        <v>0</v>
      </c>
      <c r="E40" s="62">
        <v>0</v>
      </c>
      <c r="F40" s="62">
        <v>-2158</v>
      </c>
      <c r="G40" s="62">
        <v>67</v>
      </c>
      <c r="H40" s="62">
        <v>4888</v>
      </c>
      <c r="I40" s="62">
        <v>1074</v>
      </c>
      <c r="J40" s="62">
        <v>0</v>
      </c>
      <c r="K40" s="62">
        <v>0</v>
      </c>
      <c r="L40" s="54"/>
      <c r="M40" s="62">
        <v>0</v>
      </c>
      <c r="N40" s="62">
        <v>0</v>
      </c>
      <c r="O40" s="84"/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-2158</v>
      </c>
      <c r="AB40" s="62">
        <v>0</v>
      </c>
      <c r="AC40" s="62">
        <v>0</v>
      </c>
      <c r="AD40" s="62">
        <v>-21.288</v>
      </c>
      <c r="AE40" s="62">
        <v>67</v>
      </c>
      <c r="AF40" s="62">
        <v>4876.0264938399996</v>
      </c>
      <c r="AG40" s="62">
        <v>4876.0264938399996</v>
      </c>
      <c r="AH40" s="62">
        <v>4876</v>
      </c>
      <c r="AI40" s="62">
        <v>4888</v>
      </c>
      <c r="AJ40" s="62">
        <v>1074.2509146</v>
      </c>
      <c r="AK40" s="62">
        <v>1074</v>
      </c>
      <c r="AL40" s="62">
        <v>1074.2509146</v>
      </c>
      <c r="AM40" s="62">
        <v>1074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/>
      <c r="AT40" s="62"/>
      <c r="AU40" s="62">
        <f t="shared" si="7"/>
        <v>0</v>
      </c>
      <c r="AV40" s="54"/>
      <c r="AW40" s="62">
        <v>0</v>
      </c>
      <c r="AX40" s="62">
        <v>0</v>
      </c>
      <c r="AY40" s="62">
        <v>0</v>
      </c>
      <c r="AZ40" s="62">
        <v>0</v>
      </c>
      <c r="BA40" s="62"/>
      <c r="BB40" s="62"/>
      <c r="BC40" s="62"/>
      <c r="BD40" s="62">
        <f t="shared" si="8"/>
        <v>0</v>
      </c>
      <c r="BE40" s="54"/>
      <c r="BF40" s="54"/>
    </row>
    <row r="41" spans="2:58">
      <c r="B41" s="23" t="s">
        <v>174</v>
      </c>
      <c r="C41" s="10"/>
      <c r="D41" s="62">
        <v>23.431999999999999</v>
      </c>
      <c r="E41" s="62">
        <v>22.6</v>
      </c>
      <c r="F41" s="62">
        <v>17</v>
      </c>
      <c r="G41" s="62">
        <v>3</v>
      </c>
      <c r="H41" s="62">
        <v>9</v>
      </c>
      <c r="I41" s="62"/>
      <c r="J41" s="62"/>
      <c r="K41" s="62"/>
      <c r="L41" s="54"/>
      <c r="M41" s="62"/>
      <c r="N41" s="62"/>
      <c r="O41" s="54"/>
      <c r="P41" s="62">
        <v>0</v>
      </c>
      <c r="Q41" s="62">
        <v>7.5069999999999997</v>
      </c>
      <c r="R41" s="62">
        <v>7.5069999999999997</v>
      </c>
      <c r="S41" s="62">
        <v>23.431999999999999</v>
      </c>
      <c r="T41" s="62"/>
      <c r="U41" s="62">
        <v>9.2080000000000002</v>
      </c>
      <c r="V41" s="62">
        <v>9.2080000000000002</v>
      </c>
      <c r="W41" s="62">
        <v>22.6</v>
      </c>
      <c r="X41" s="62"/>
      <c r="Y41" s="62">
        <v>6.6</v>
      </c>
      <c r="Z41" s="62">
        <v>7</v>
      </c>
      <c r="AA41" s="62">
        <v>17</v>
      </c>
      <c r="AB41" s="62"/>
      <c r="AC41" s="62"/>
      <c r="AD41" s="62">
        <v>2.657</v>
      </c>
      <c r="AE41" s="62">
        <v>3</v>
      </c>
      <c r="AF41" s="62"/>
      <c r="AG41" s="62">
        <v>8.6999999999999993</v>
      </c>
      <c r="AH41" s="62">
        <v>9</v>
      </c>
      <c r="AI41" s="62">
        <v>9</v>
      </c>
      <c r="AJ41" s="62"/>
      <c r="AK41" s="62"/>
      <c r="AL41" s="62"/>
      <c r="AM41" s="62">
        <v>0</v>
      </c>
      <c r="AN41" s="62"/>
      <c r="AO41" s="62"/>
      <c r="AP41" s="62"/>
      <c r="AQ41" s="62">
        <v>0</v>
      </c>
      <c r="AR41" s="62"/>
      <c r="AS41" s="62"/>
      <c r="AT41" s="62"/>
      <c r="AU41" s="62">
        <f t="shared" si="7"/>
        <v>0</v>
      </c>
      <c r="AV41" s="54"/>
      <c r="AW41" s="62"/>
      <c r="AX41" s="62"/>
      <c r="AY41" s="62"/>
      <c r="AZ41" s="62">
        <v>0</v>
      </c>
      <c r="BA41" s="62"/>
      <c r="BB41" s="62"/>
      <c r="BC41" s="62"/>
      <c r="BD41" s="62">
        <f t="shared" si="8"/>
        <v>0</v>
      </c>
      <c r="BE41" s="54"/>
      <c r="BF41" s="54"/>
    </row>
    <row r="42" spans="2:58" ht="28.8">
      <c r="B42" s="23" t="s">
        <v>178</v>
      </c>
      <c r="C42" s="10"/>
      <c r="D42" s="62">
        <v>-476.11900000000003</v>
      </c>
      <c r="E42" s="62"/>
      <c r="F42" s="62"/>
      <c r="G42" s="62"/>
      <c r="H42" s="62">
        <v>15</v>
      </c>
      <c r="I42" s="62"/>
      <c r="J42" s="62"/>
      <c r="K42" s="62"/>
      <c r="L42" s="54"/>
      <c r="M42" s="62"/>
      <c r="N42" s="62"/>
      <c r="O42" s="54"/>
      <c r="P42" s="62"/>
      <c r="Q42" s="62"/>
      <c r="R42" s="62">
        <v>-497.64400000000001</v>
      </c>
      <c r="S42" s="62">
        <v>-476.11900000000003</v>
      </c>
      <c r="T42" s="62"/>
      <c r="U42" s="62"/>
      <c r="V42" s="62"/>
      <c r="W42" s="62">
        <v>0</v>
      </c>
      <c r="X42" s="62"/>
      <c r="Y42" s="62"/>
      <c r="Z42" s="62"/>
      <c r="AA42" s="62">
        <v>0</v>
      </c>
      <c r="AB42" s="62"/>
      <c r="AC42" s="62"/>
      <c r="AD42" s="62"/>
      <c r="AE42" s="62">
        <v>0</v>
      </c>
      <c r="AF42" s="62"/>
      <c r="AG42" s="62"/>
      <c r="AH42" s="62">
        <v>15</v>
      </c>
      <c r="AI42" s="62">
        <v>15</v>
      </c>
      <c r="AJ42" s="62"/>
      <c r="AK42" s="62"/>
      <c r="AL42" s="62"/>
      <c r="AM42" s="62">
        <v>0</v>
      </c>
      <c r="AN42" s="62"/>
      <c r="AO42" s="62"/>
      <c r="AP42" s="62"/>
      <c r="AQ42" s="62">
        <v>0</v>
      </c>
      <c r="AR42" s="62"/>
      <c r="AS42" s="62"/>
      <c r="AT42" s="62"/>
      <c r="AU42" s="62">
        <f t="shared" si="7"/>
        <v>0</v>
      </c>
      <c r="AV42" s="54"/>
      <c r="AW42" s="62"/>
      <c r="AX42" s="62"/>
      <c r="AY42" s="62"/>
      <c r="AZ42" s="62">
        <v>0</v>
      </c>
      <c r="BA42" s="62"/>
      <c r="BB42" s="62"/>
      <c r="BC42" s="62"/>
      <c r="BD42" s="62">
        <f t="shared" si="8"/>
        <v>0</v>
      </c>
      <c r="BE42" s="54"/>
      <c r="BF42" s="54"/>
    </row>
    <row r="43" spans="2:58">
      <c r="B43" s="20" t="s">
        <v>110</v>
      </c>
      <c r="C43" s="11"/>
      <c r="D43" s="58">
        <v>0</v>
      </c>
      <c r="E43" s="58">
        <v>0</v>
      </c>
      <c r="F43" s="58">
        <v>1441</v>
      </c>
      <c r="G43" s="58">
        <v>20</v>
      </c>
      <c r="H43" s="58">
        <v>0</v>
      </c>
      <c r="I43" s="58">
        <v>24</v>
      </c>
      <c r="J43" s="58">
        <v>0</v>
      </c>
      <c r="K43" s="58">
        <v>40</v>
      </c>
      <c r="L43" s="54"/>
      <c r="M43" s="58">
        <v>0</v>
      </c>
      <c r="N43" s="58">
        <v>40</v>
      </c>
      <c r="O43" s="54"/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1441</v>
      </c>
      <c r="AB43" s="58">
        <v>0</v>
      </c>
      <c r="AC43" s="58">
        <v>0</v>
      </c>
      <c r="AD43" s="58">
        <v>0</v>
      </c>
      <c r="AE43" s="58">
        <v>20</v>
      </c>
      <c r="AF43" s="58">
        <v>0</v>
      </c>
      <c r="AG43" s="58"/>
      <c r="AH43" s="58"/>
      <c r="AI43" s="58">
        <v>0</v>
      </c>
      <c r="AJ43" s="58">
        <v>0</v>
      </c>
      <c r="AK43" s="58">
        <v>0</v>
      </c>
      <c r="AL43" s="58"/>
      <c r="AM43" s="58">
        <v>24</v>
      </c>
      <c r="AN43" s="58">
        <v>0</v>
      </c>
      <c r="AO43" s="58">
        <v>0</v>
      </c>
      <c r="AP43" s="58">
        <v>0</v>
      </c>
      <c r="AQ43" s="58">
        <v>0</v>
      </c>
      <c r="AR43" s="58">
        <v>7.1960527333333335</v>
      </c>
      <c r="AS43" s="58">
        <v>20</v>
      </c>
      <c r="AT43" s="58">
        <v>22</v>
      </c>
      <c r="AU43" s="58">
        <f t="shared" si="7"/>
        <v>40</v>
      </c>
      <c r="AV43" s="54"/>
      <c r="AW43" s="58">
        <v>0</v>
      </c>
      <c r="AX43" s="58">
        <v>0</v>
      </c>
      <c r="AY43" s="58">
        <v>0</v>
      </c>
      <c r="AZ43" s="58">
        <v>0</v>
      </c>
      <c r="BA43" s="58">
        <v>7.1960527333333335</v>
      </c>
      <c r="BB43" s="58">
        <v>20</v>
      </c>
      <c r="BC43" s="58">
        <v>22</v>
      </c>
      <c r="BD43" s="58">
        <f t="shared" si="8"/>
        <v>40</v>
      </c>
      <c r="BE43" s="54"/>
      <c r="BF43" s="54"/>
    </row>
    <row r="44" spans="2:58">
      <c r="B44" s="18" t="s">
        <v>111</v>
      </c>
      <c r="C44" s="8"/>
      <c r="D44" s="63">
        <v>-1312.8050000000001</v>
      </c>
      <c r="E44" s="63">
        <v>-749.69399999999996</v>
      </c>
      <c r="F44" s="63">
        <v>-2646</v>
      </c>
      <c r="G44" s="63">
        <v>-5218</v>
      </c>
      <c r="H44" s="63">
        <v>3165</v>
      </c>
      <c r="I44" s="63">
        <v>-1370</v>
      </c>
      <c r="J44" s="63">
        <v>-3794</v>
      </c>
      <c r="K44" s="63">
        <f>SUM(K38:K43)</f>
        <v>-3467</v>
      </c>
      <c r="L44" s="54"/>
      <c r="M44" s="63">
        <v>-3794</v>
      </c>
      <c r="N44" s="63">
        <f>SUM(N38:N43)</f>
        <v>-3467</v>
      </c>
      <c r="O44" s="54"/>
      <c r="P44" s="63">
        <v>-100.73381527271185</v>
      </c>
      <c r="Q44" s="63">
        <v>-303.85399999999998</v>
      </c>
      <c r="R44" s="63">
        <v>-1078.9680000000001</v>
      </c>
      <c r="S44" s="63">
        <v>-1312.8050000000001</v>
      </c>
      <c r="T44" s="63">
        <v>-45.105000000000004</v>
      </c>
      <c r="U44" s="63">
        <v>-158.36600000000001</v>
      </c>
      <c r="V44" s="63">
        <v>-340.52199999999999</v>
      </c>
      <c r="W44" s="63">
        <v>-749.69399999999996</v>
      </c>
      <c r="X44" s="63">
        <v>-167.10986234340223</v>
      </c>
      <c r="Y44" s="63">
        <v>-554.03</v>
      </c>
      <c r="Z44" s="63">
        <v>-1048.6082115419583</v>
      </c>
      <c r="AA44" s="63">
        <v>-2646</v>
      </c>
      <c r="AB44" s="63">
        <v>-969.14045585593249</v>
      </c>
      <c r="AC44" s="63">
        <v>-1678.5647451864411</v>
      </c>
      <c r="AD44" s="63">
        <v>-4355.9112856629381</v>
      </c>
      <c r="AE44" s="63">
        <v>-5218</v>
      </c>
      <c r="AF44" s="63">
        <v>4607.2027208820891</v>
      </c>
      <c r="AG44" s="63">
        <v>4302.5606047641395</v>
      </c>
      <c r="AH44" s="63">
        <v>3955</v>
      </c>
      <c r="AI44" s="63">
        <v>3165</v>
      </c>
      <c r="AJ44" s="63">
        <v>821.40613582665924</v>
      </c>
      <c r="AK44" s="63">
        <v>511</v>
      </c>
      <c r="AL44" s="63">
        <v>-168.20809114180702</v>
      </c>
      <c r="AM44" s="63">
        <v>-1370</v>
      </c>
      <c r="AN44" s="63">
        <v>-317.80267004136408</v>
      </c>
      <c r="AO44" s="63">
        <v>-729.97892687187459</v>
      </c>
      <c r="AP44" s="63">
        <f>SUM(AP38:AP43)</f>
        <v>-1282.7178919720689</v>
      </c>
      <c r="AQ44" s="63">
        <v>-3794</v>
      </c>
      <c r="AR44" s="63">
        <v>-855.36928237495897</v>
      </c>
      <c r="AS44" s="63">
        <v>-1596</v>
      </c>
      <c r="AT44" s="63">
        <f>SUM(AT38:AT43)</f>
        <v>-2544</v>
      </c>
      <c r="AU44" s="63">
        <f>K44</f>
        <v>-3467</v>
      </c>
      <c r="AV44" s="54"/>
      <c r="AW44" s="63">
        <v>-317.8027121483297</v>
      </c>
      <c r="AX44" s="63">
        <v>-729.97964837588381</v>
      </c>
      <c r="AY44" s="63">
        <f>SUM(AY38:AY43)</f>
        <v>-1283</v>
      </c>
      <c r="AZ44" s="63">
        <v>-3794</v>
      </c>
      <c r="BA44" s="63">
        <v>-855.36859404202346</v>
      </c>
      <c r="BB44" s="63">
        <v>-1596</v>
      </c>
      <c r="BC44" s="63">
        <f>SUM(BC38:BC43)</f>
        <v>-2544</v>
      </c>
      <c r="BD44" s="63">
        <f t="shared" si="8"/>
        <v>-3467</v>
      </c>
      <c r="BE44" s="54"/>
      <c r="BF44" s="54"/>
    </row>
    <row r="45" spans="2:58">
      <c r="B45" s="26"/>
      <c r="C45" s="10"/>
      <c r="D45" s="62"/>
      <c r="E45" s="62"/>
      <c r="F45" s="62"/>
      <c r="G45" s="62"/>
      <c r="H45" s="62"/>
      <c r="I45" s="62"/>
      <c r="J45" s="62"/>
      <c r="K45" s="62"/>
      <c r="L45" s="54"/>
      <c r="M45" s="62"/>
      <c r="N45" s="62"/>
      <c r="O45" s="54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54"/>
      <c r="AW45" s="62"/>
      <c r="AX45" s="62"/>
      <c r="AY45" s="62"/>
      <c r="AZ45" s="62"/>
      <c r="BA45" s="62"/>
      <c r="BB45" s="62"/>
      <c r="BC45" s="62"/>
      <c r="BD45" s="62"/>
      <c r="BE45" s="54"/>
      <c r="BF45" s="54"/>
    </row>
    <row r="46" spans="2:58">
      <c r="B46" s="25" t="s">
        <v>112</v>
      </c>
      <c r="C46" s="10"/>
      <c r="D46" s="62"/>
      <c r="E46" s="62"/>
      <c r="F46" s="62"/>
      <c r="G46" s="62"/>
      <c r="H46" s="62"/>
      <c r="I46" s="62"/>
      <c r="J46" s="62"/>
      <c r="K46" s="62"/>
      <c r="L46" s="54"/>
      <c r="M46" s="62"/>
      <c r="N46" s="62"/>
      <c r="O46" s="54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54"/>
      <c r="AW46" s="62"/>
      <c r="AX46" s="62"/>
      <c r="AY46" s="62"/>
      <c r="AZ46" s="62"/>
      <c r="BA46" s="62"/>
      <c r="BB46" s="62"/>
      <c r="BC46" s="62"/>
      <c r="BD46" s="62"/>
      <c r="BE46" s="54"/>
      <c r="BF46" s="54"/>
    </row>
    <row r="47" spans="2:58">
      <c r="B47" s="23" t="s">
        <v>113</v>
      </c>
      <c r="C47" s="10"/>
      <c r="D47" s="62"/>
      <c r="E47" s="62">
        <v>-4542.5</v>
      </c>
      <c r="F47" s="62"/>
      <c r="G47" s="62"/>
      <c r="H47" s="62"/>
      <c r="I47" s="62">
        <v>-375</v>
      </c>
      <c r="J47" s="62">
        <v>-195</v>
      </c>
      <c r="K47" s="62">
        <v>-139</v>
      </c>
      <c r="L47" s="54"/>
      <c r="M47" s="62">
        <v>-195</v>
      </c>
      <c r="N47" s="62">
        <v>-139</v>
      </c>
      <c r="O47" s="84"/>
      <c r="P47" s="62">
        <v>0</v>
      </c>
      <c r="Q47" s="62">
        <v>0</v>
      </c>
      <c r="R47" s="62"/>
      <c r="S47" s="62">
        <v>0</v>
      </c>
      <c r="T47" s="62">
        <v>0</v>
      </c>
      <c r="U47" s="62">
        <v>0</v>
      </c>
      <c r="V47" s="62">
        <v>-4542.5140000000001</v>
      </c>
      <c r="W47" s="62">
        <v>-4542.5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/>
      <c r="AH47" s="62"/>
      <c r="AI47" s="62">
        <v>0</v>
      </c>
      <c r="AJ47" s="62">
        <v>0</v>
      </c>
      <c r="AK47" s="62">
        <v>-43</v>
      </c>
      <c r="AL47" s="62">
        <v>-248.23018775399999</v>
      </c>
      <c r="AM47" s="62">
        <v>-375</v>
      </c>
      <c r="AN47" s="62">
        <v>-2.035046098800005</v>
      </c>
      <c r="AO47" s="62">
        <v>-48.175800460799998</v>
      </c>
      <c r="AP47" s="62">
        <v>-146</v>
      </c>
      <c r="AQ47" s="62">
        <v>-195</v>
      </c>
      <c r="AR47" s="62">
        <v>-139.00963139999996</v>
      </c>
      <c r="AS47" s="62">
        <v>-139</v>
      </c>
      <c r="AT47" s="62">
        <v>-139</v>
      </c>
      <c r="AU47" s="62">
        <f t="shared" ref="AU47:AU55" si="9">K47</f>
        <v>-139</v>
      </c>
      <c r="AV47" s="54"/>
      <c r="AW47" s="62">
        <v>-2.035046098800005</v>
      </c>
      <c r="AX47" s="62">
        <v>-48</v>
      </c>
      <c r="AY47" s="62">
        <v>-146</v>
      </c>
      <c r="AZ47" s="62">
        <v>-195</v>
      </c>
      <c r="BA47" s="62">
        <v>-139.00963139999996</v>
      </c>
      <c r="BB47" s="62">
        <v>-139</v>
      </c>
      <c r="BC47" s="62">
        <v>-139</v>
      </c>
      <c r="BD47" s="62">
        <f t="shared" ref="BD47:BD55" si="10">N47</f>
        <v>-139</v>
      </c>
      <c r="BE47" s="54"/>
      <c r="BF47" s="54"/>
    </row>
    <row r="48" spans="2:58">
      <c r="B48" s="23" t="s">
        <v>114</v>
      </c>
      <c r="C48" s="10"/>
      <c r="D48" s="62"/>
      <c r="E48" s="62"/>
      <c r="F48" s="62"/>
      <c r="G48" s="62"/>
      <c r="H48" s="62"/>
      <c r="I48" s="62">
        <v>43</v>
      </c>
      <c r="J48" s="62">
        <v>41</v>
      </c>
      <c r="K48" s="62">
        <v>36</v>
      </c>
      <c r="L48" s="54"/>
      <c r="M48" s="62">
        <v>41</v>
      </c>
      <c r="N48" s="62">
        <v>36</v>
      </c>
      <c r="O48" s="54"/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/>
      <c r="AH48" s="62"/>
      <c r="AI48" s="62">
        <v>0</v>
      </c>
      <c r="AJ48" s="62">
        <v>0</v>
      </c>
      <c r="AK48" s="62">
        <v>0</v>
      </c>
      <c r="AL48" s="62"/>
      <c r="AM48" s="62">
        <v>43</v>
      </c>
      <c r="AN48" s="62">
        <v>0</v>
      </c>
      <c r="AO48" s="62">
        <v>0</v>
      </c>
      <c r="AP48" s="62">
        <v>38</v>
      </c>
      <c r="AQ48" s="62">
        <v>41</v>
      </c>
      <c r="AR48" s="62">
        <v>0</v>
      </c>
      <c r="AS48" s="62">
        <v>31</v>
      </c>
      <c r="AT48" s="62">
        <v>34</v>
      </c>
      <c r="AU48" s="62">
        <f t="shared" si="9"/>
        <v>36</v>
      </c>
      <c r="AV48" s="54"/>
      <c r="AW48" s="62">
        <v>0</v>
      </c>
      <c r="AX48" s="62">
        <v>0</v>
      </c>
      <c r="AY48" s="62">
        <v>38</v>
      </c>
      <c r="AZ48" s="62">
        <v>41</v>
      </c>
      <c r="BA48" s="62"/>
      <c r="BB48" s="62">
        <v>31</v>
      </c>
      <c r="BC48" s="62">
        <v>34</v>
      </c>
      <c r="BD48" s="62">
        <f t="shared" si="10"/>
        <v>36</v>
      </c>
      <c r="BE48" s="54"/>
      <c r="BF48" s="54"/>
    </row>
    <row r="49" spans="2:58">
      <c r="B49" s="23" t="s">
        <v>177</v>
      </c>
      <c r="C49" s="10"/>
      <c r="D49" s="62"/>
      <c r="E49" s="62"/>
      <c r="F49" s="62"/>
      <c r="G49" s="62"/>
      <c r="H49" s="62">
        <v>-307</v>
      </c>
      <c r="I49" s="62"/>
      <c r="J49" s="62"/>
      <c r="K49" s="62"/>
      <c r="L49" s="54"/>
      <c r="M49" s="62"/>
      <c r="N49" s="62"/>
      <c r="O49" s="54"/>
      <c r="P49" s="62"/>
      <c r="Q49" s="62"/>
      <c r="R49" s="62"/>
      <c r="S49" s="62">
        <v>0</v>
      </c>
      <c r="T49" s="62"/>
      <c r="U49" s="62"/>
      <c r="V49" s="62"/>
      <c r="W49" s="62">
        <v>0</v>
      </c>
      <c r="X49" s="62"/>
      <c r="Y49" s="62"/>
      <c r="Z49" s="62"/>
      <c r="AA49" s="62">
        <v>0</v>
      </c>
      <c r="AB49" s="62"/>
      <c r="AC49" s="62"/>
      <c r="AD49" s="62"/>
      <c r="AE49" s="62">
        <v>0</v>
      </c>
      <c r="AF49" s="62"/>
      <c r="AG49" s="62">
        <v>-307</v>
      </c>
      <c r="AH49" s="62">
        <v>-307</v>
      </c>
      <c r="AI49" s="62">
        <v>-307</v>
      </c>
      <c r="AJ49" s="62"/>
      <c r="AK49" s="62"/>
      <c r="AL49" s="62"/>
      <c r="AM49" s="62">
        <v>0</v>
      </c>
      <c r="AN49" s="62"/>
      <c r="AO49" s="62"/>
      <c r="AP49" s="62"/>
      <c r="AQ49" s="62">
        <v>0</v>
      </c>
      <c r="AR49" s="62"/>
      <c r="AS49" s="62"/>
      <c r="AT49" s="62"/>
      <c r="AU49" s="62">
        <f t="shared" si="9"/>
        <v>0</v>
      </c>
      <c r="AV49" s="54"/>
      <c r="AW49" s="62"/>
      <c r="AX49" s="62"/>
      <c r="AY49" s="62"/>
      <c r="AZ49" s="62">
        <v>0</v>
      </c>
      <c r="BA49" s="62"/>
      <c r="BB49" s="62"/>
      <c r="BC49" s="62"/>
      <c r="BD49" s="62">
        <f t="shared" si="10"/>
        <v>0</v>
      </c>
      <c r="BE49" s="54"/>
      <c r="BF49" s="54"/>
    </row>
    <row r="50" spans="2:58">
      <c r="B50" s="23" t="s">
        <v>175</v>
      </c>
      <c r="C50" s="10"/>
      <c r="D50" s="62"/>
      <c r="E50" s="62"/>
      <c r="F50" s="62"/>
      <c r="G50" s="62">
        <v>170</v>
      </c>
      <c r="H50" s="62"/>
      <c r="I50" s="62"/>
      <c r="J50" s="62"/>
      <c r="K50" s="62"/>
      <c r="L50" s="54"/>
      <c r="M50" s="62"/>
      <c r="N50" s="62"/>
      <c r="O50" s="54"/>
      <c r="P50" s="62"/>
      <c r="Q50" s="62"/>
      <c r="R50" s="62"/>
      <c r="S50" s="62">
        <v>0</v>
      </c>
      <c r="T50" s="62"/>
      <c r="U50" s="62"/>
      <c r="V50" s="62"/>
      <c r="W50" s="62">
        <v>0</v>
      </c>
      <c r="X50" s="62"/>
      <c r="Y50" s="62"/>
      <c r="Z50" s="62"/>
      <c r="AA50" s="62">
        <v>0</v>
      </c>
      <c r="AB50" s="62"/>
      <c r="AC50" s="62"/>
      <c r="AD50" s="62"/>
      <c r="AE50" s="62">
        <v>170</v>
      </c>
      <c r="AF50" s="62"/>
      <c r="AG50" s="62"/>
      <c r="AH50" s="62"/>
      <c r="AI50" s="62">
        <v>0</v>
      </c>
      <c r="AJ50" s="62"/>
      <c r="AK50" s="62"/>
      <c r="AL50" s="62"/>
      <c r="AM50" s="62">
        <v>0</v>
      </c>
      <c r="AN50" s="62"/>
      <c r="AO50" s="62"/>
      <c r="AP50" s="62"/>
      <c r="AQ50" s="62">
        <v>0</v>
      </c>
      <c r="AR50" s="62"/>
      <c r="AS50" s="62"/>
      <c r="AT50" s="62"/>
      <c r="AU50" s="62">
        <f t="shared" si="9"/>
        <v>0</v>
      </c>
      <c r="AV50" s="54"/>
      <c r="AW50" s="62"/>
      <c r="AX50" s="62"/>
      <c r="AY50" s="62"/>
      <c r="AZ50" s="62">
        <v>0</v>
      </c>
      <c r="BA50" s="62"/>
      <c r="BB50" s="62"/>
      <c r="BC50" s="62"/>
      <c r="BD50" s="62">
        <f t="shared" si="10"/>
        <v>0</v>
      </c>
      <c r="BE50" s="54"/>
      <c r="BF50" s="54"/>
    </row>
    <row r="51" spans="2:58">
      <c r="B51" s="23" t="s">
        <v>115</v>
      </c>
      <c r="C51" s="10"/>
      <c r="D51" s="62">
        <v>-5793.4360194999999</v>
      </c>
      <c r="E51" s="62">
        <v>-10875.213583040011</v>
      </c>
      <c r="F51" s="62">
        <v>-15391</v>
      </c>
      <c r="G51" s="62">
        <v>-27783</v>
      </c>
      <c r="H51" s="62">
        <v>-30290</v>
      </c>
      <c r="I51" s="62">
        <v>-40666</v>
      </c>
      <c r="J51" s="62">
        <v>-44173</v>
      </c>
      <c r="K51" s="62">
        <v>-72522</v>
      </c>
      <c r="L51" s="54"/>
      <c r="M51" s="62">
        <v>-44173</v>
      </c>
      <c r="N51" s="62">
        <v>-72522</v>
      </c>
      <c r="O51" s="54"/>
      <c r="P51" s="62">
        <v>-615.8632383800001</v>
      </c>
      <c r="Q51" s="62">
        <v>-1762.4694930900002</v>
      </c>
      <c r="R51" s="62">
        <v>-3291.0201119100007</v>
      </c>
      <c r="S51" s="62">
        <v>-5793.4360194999999</v>
      </c>
      <c r="T51" s="62">
        <v>-1402.56163216</v>
      </c>
      <c r="U51" s="62">
        <v>-2929.852336219999</v>
      </c>
      <c r="V51" s="62">
        <v>-5074.6767565</v>
      </c>
      <c r="W51" s="62">
        <v>-10875.213583040011</v>
      </c>
      <c r="X51" s="62">
        <v>-1839.4011844199997</v>
      </c>
      <c r="Y51" s="62">
        <v>-5175.5664377800022</v>
      </c>
      <c r="Z51" s="62">
        <v>-9861.0256044200032</v>
      </c>
      <c r="AA51" s="62">
        <v>-15391</v>
      </c>
      <c r="AB51" s="62">
        <v>-3327.6545125800003</v>
      </c>
      <c r="AC51" s="62">
        <v>-9345.8523830600006</v>
      </c>
      <c r="AD51" s="62">
        <v>-17101.255402200004</v>
      </c>
      <c r="AE51" s="62">
        <v>-27783</v>
      </c>
      <c r="AF51" s="62">
        <v>-8808.5289503799995</v>
      </c>
      <c r="AG51" s="62">
        <v>-13444</v>
      </c>
      <c r="AH51" s="62">
        <v>-18927</v>
      </c>
      <c r="AI51" s="62">
        <v>-30290</v>
      </c>
      <c r="AJ51" s="62">
        <v>-7545.6362046600007</v>
      </c>
      <c r="AK51" s="62">
        <v>-23058</v>
      </c>
      <c r="AL51" s="62">
        <v>-30414.15735342</v>
      </c>
      <c r="AM51" s="62">
        <v>-40666</v>
      </c>
      <c r="AN51" s="62">
        <v>-10272.160373950001</v>
      </c>
      <c r="AO51" s="62">
        <v>-21935.992227480001</v>
      </c>
      <c r="AP51" s="62">
        <v>-32616.275064679998</v>
      </c>
      <c r="AQ51" s="62">
        <v>-44173</v>
      </c>
      <c r="AR51" s="62">
        <v>-11093.139829329999</v>
      </c>
      <c r="AS51" s="62">
        <v>-29514</v>
      </c>
      <c r="AT51" s="62">
        <v>-50754</v>
      </c>
      <c r="AU51" s="62">
        <f t="shared" si="9"/>
        <v>-72522</v>
      </c>
      <c r="AV51" s="54"/>
      <c r="AW51" s="62">
        <v>-10272.160373950001</v>
      </c>
      <c r="AX51" s="62">
        <v>-21936</v>
      </c>
      <c r="AY51" s="62">
        <v>-32616</v>
      </c>
      <c r="AZ51" s="62">
        <v>-44173</v>
      </c>
      <c r="BA51" s="62">
        <v>-11093.139829329999</v>
      </c>
      <c r="BB51" s="62">
        <v>-28914</v>
      </c>
      <c r="BC51" s="62">
        <v>-50754</v>
      </c>
      <c r="BD51" s="62">
        <f t="shared" si="10"/>
        <v>-72522</v>
      </c>
      <c r="BE51" s="54"/>
      <c r="BF51" s="54"/>
    </row>
    <row r="52" spans="2:58">
      <c r="B52" s="23" t="s">
        <v>116</v>
      </c>
      <c r="C52" s="10"/>
      <c r="D52" s="62"/>
      <c r="E52" s="62">
        <v>-420.46199999999999</v>
      </c>
      <c r="F52" s="62">
        <v>-1856</v>
      </c>
      <c r="G52" s="62">
        <v>-2973</v>
      </c>
      <c r="H52" s="62">
        <v>-4427</v>
      </c>
      <c r="I52" s="62">
        <v>-3623</v>
      </c>
      <c r="J52" s="62">
        <v>-7242</v>
      </c>
      <c r="K52" s="62">
        <v>-6998</v>
      </c>
      <c r="L52" s="54"/>
      <c r="M52" s="62">
        <v>-7242</v>
      </c>
      <c r="N52" s="62">
        <v>-6998</v>
      </c>
      <c r="O52" s="54"/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-420.46199999999999</v>
      </c>
      <c r="W52" s="62">
        <v>-420.46199999999999</v>
      </c>
      <c r="X52" s="62">
        <v>0</v>
      </c>
      <c r="Y52" s="62">
        <v>0</v>
      </c>
      <c r="Z52" s="62">
        <v>-634.07437379999999</v>
      </c>
      <c r="AA52" s="62">
        <v>-1856</v>
      </c>
      <c r="AB52" s="62">
        <v>0</v>
      </c>
      <c r="AC52" s="62">
        <v>0</v>
      </c>
      <c r="AD52" s="62">
        <v>-839.06100000000004</v>
      </c>
      <c r="AE52" s="62">
        <v>-2973</v>
      </c>
      <c r="AF52" s="62">
        <v>0</v>
      </c>
      <c r="AG52" s="62"/>
      <c r="AH52" s="62">
        <v>-1308</v>
      </c>
      <c r="AI52" s="62">
        <v>-4427</v>
      </c>
      <c r="AJ52" s="62">
        <v>0</v>
      </c>
      <c r="AK52" s="62"/>
      <c r="AL52" s="62">
        <v>-2571.7199999999998</v>
      </c>
      <c r="AM52" s="62">
        <v>-3623</v>
      </c>
      <c r="AN52" s="62">
        <v>-1143.48814629</v>
      </c>
      <c r="AO52" s="62">
        <v>-4006.6420602899898</v>
      </c>
      <c r="AP52" s="62">
        <v>-4006.6420602899998</v>
      </c>
      <c r="AQ52" s="62">
        <v>-7242</v>
      </c>
      <c r="AR52" s="62">
        <v>0</v>
      </c>
      <c r="AS52" s="62">
        <v>-3274</v>
      </c>
      <c r="AT52" s="62">
        <v>-3274</v>
      </c>
      <c r="AU52" s="62">
        <f t="shared" si="9"/>
        <v>-6998</v>
      </c>
      <c r="AV52" s="54"/>
      <c r="AW52" s="62">
        <v>-1143.48814629</v>
      </c>
      <c r="AX52" s="62">
        <v>-4006.94206028999</v>
      </c>
      <c r="AY52" s="62">
        <v>-4007</v>
      </c>
      <c r="AZ52" s="62">
        <v>-7242</v>
      </c>
      <c r="BA52" s="62"/>
      <c r="BB52" s="62">
        <v>-3274</v>
      </c>
      <c r="BC52" s="62">
        <v>-3274</v>
      </c>
      <c r="BD52" s="62">
        <f t="shared" si="10"/>
        <v>-6998</v>
      </c>
      <c r="BE52" s="54"/>
      <c r="BF52" s="54"/>
    </row>
    <row r="53" spans="2:58">
      <c r="B53" s="23" t="s">
        <v>117</v>
      </c>
      <c r="C53" s="10"/>
      <c r="D53" s="62"/>
      <c r="E53" s="62"/>
      <c r="F53" s="62"/>
      <c r="G53" s="62"/>
      <c r="H53" s="62"/>
      <c r="I53" s="62"/>
      <c r="J53" s="62"/>
      <c r="K53" s="62"/>
      <c r="L53" s="54"/>
      <c r="M53" s="62">
        <v>-6122</v>
      </c>
      <c r="N53" s="62">
        <v>-6589</v>
      </c>
      <c r="O53" s="54"/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/>
      <c r="AH53" s="62"/>
      <c r="AI53" s="62">
        <v>0</v>
      </c>
      <c r="AJ53" s="62">
        <v>0</v>
      </c>
      <c r="AK53" s="62"/>
      <c r="AL53" s="62"/>
      <c r="AM53" s="62">
        <v>0</v>
      </c>
      <c r="AN53" s="62"/>
      <c r="AO53" s="62"/>
      <c r="AP53" s="62"/>
      <c r="AQ53" s="62">
        <v>0</v>
      </c>
      <c r="AR53" s="62">
        <v>0</v>
      </c>
      <c r="AS53" s="62">
        <v>0</v>
      </c>
      <c r="AT53" s="62">
        <v>0</v>
      </c>
      <c r="AU53" s="62">
        <f t="shared" si="9"/>
        <v>0</v>
      </c>
      <c r="AV53" s="54"/>
      <c r="AW53" s="62">
        <v>-2047.1136566627301</v>
      </c>
      <c r="AX53" s="62">
        <v>-2947</v>
      </c>
      <c r="AY53" s="62">
        <v>-4762</v>
      </c>
      <c r="AZ53" s="62">
        <v>-6122</v>
      </c>
      <c r="BA53" s="62">
        <v>-1481.5059821707825</v>
      </c>
      <c r="BB53" s="62">
        <v>-3490</v>
      </c>
      <c r="BC53" s="62">
        <v>-5017</v>
      </c>
      <c r="BD53" s="62">
        <f t="shared" si="10"/>
        <v>-6589</v>
      </c>
      <c r="BE53" s="54"/>
      <c r="BF53" s="54"/>
    </row>
    <row r="54" spans="2:58">
      <c r="B54" s="20" t="s">
        <v>118</v>
      </c>
      <c r="C54" s="11"/>
      <c r="D54" s="58">
        <v>4755.1250982969996</v>
      </c>
      <c r="E54" s="58">
        <v>13791.035740780011</v>
      </c>
      <c r="F54" s="58">
        <v>19211</v>
      </c>
      <c r="G54" s="58">
        <v>36746</v>
      </c>
      <c r="H54" s="58">
        <v>26569</v>
      </c>
      <c r="I54" s="58">
        <v>39621</v>
      </c>
      <c r="J54" s="58">
        <v>52052</v>
      </c>
      <c r="K54" s="58">
        <v>70302</v>
      </c>
      <c r="L54" s="54"/>
      <c r="M54" s="58">
        <v>52052</v>
      </c>
      <c r="N54" s="58">
        <v>70302</v>
      </c>
      <c r="O54" s="54"/>
      <c r="P54" s="58">
        <v>465.24732092999994</v>
      </c>
      <c r="Q54" s="58">
        <v>1577.1024368199999</v>
      </c>
      <c r="R54" s="58">
        <v>3503.6024038700011</v>
      </c>
      <c r="S54" s="58">
        <v>4755.1250982969996</v>
      </c>
      <c r="T54" s="58">
        <v>1679.08088883</v>
      </c>
      <c r="U54" s="58">
        <v>2637.9686506200005</v>
      </c>
      <c r="V54" s="58">
        <v>8785.9499247200001</v>
      </c>
      <c r="W54" s="58">
        <v>13791.035740780011</v>
      </c>
      <c r="X54" s="58">
        <v>4758.8984267900005</v>
      </c>
      <c r="Y54" s="58">
        <v>7754.7592726399998</v>
      </c>
      <c r="Z54" s="58">
        <v>11356.43876974</v>
      </c>
      <c r="AA54" s="58">
        <v>19211</v>
      </c>
      <c r="AB54" s="58">
        <v>5392.0807478500001</v>
      </c>
      <c r="AC54" s="58">
        <v>12927.303542950001</v>
      </c>
      <c r="AD54" s="58">
        <v>25495.760379859999</v>
      </c>
      <c r="AE54" s="58">
        <v>36746</v>
      </c>
      <c r="AF54" s="58">
        <v>4023.7864440099997</v>
      </c>
      <c r="AG54" s="58">
        <v>8686</v>
      </c>
      <c r="AH54" s="58">
        <v>13570</v>
      </c>
      <c r="AI54" s="58">
        <v>26569</v>
      </c>
      <c r="AJ54" s="58">
        <v>9232.25281</v>
      </c>
      <c r="AK54" s="58">
        <v>24113</v>
      </c>
      <c r="AL54" s="58">
        <v>30804.76596144</v>
      </c>
      <c r="AM54" s="58">
        <v>39621</v>
      </c>
      <c r="AN54" s="58">
        <v>13945.07677378</v>
      </c>
      <c r="AO54" s="58">
        <v>28030.970790579999</v>
      </c>
      <c r="AP54" s="58">
        <v>36643.182654971635</v>
      </c>
      <c r="AQ54" s="58">
        <v>52052</v>
      </c>
      <c r="AR54" s="58">
        <v>14067.857231829999</v>
      </c>
      <c r="AS54" s="58">
        <v>35537</v>
      </c>
      <c r="AT54" s="58">
        <v>50190</v>
      </c>
      <c r="AU54" s="58">
        <f t="shared" si="9"/>
        <v>70302</v>
      </c>
      <c r="AV54" s="54"/>
      <c r="AW54" s="58">
        <v>13945.07677378</v>
      </c>
      <c r="AX54" s="58">
        <v>28031</v>
      </c>
      <c r="AY54" s="58">
        <v>36642</v>
      </c>
      <c r="AZ54" s="58">
        <v>52052</v>
      </c>
      <c r="BA54" s="58">
        <v>14067.857231829999</v>
      </c>
      <c r="BB54" s="58">
        <v>34937</v>
      </c>
      <c r="BC54" s="58">
        <v>50190</v>
      </c>
      <c r="BD54" s="58">
        <f t="shared" si="10"/>
        <v>70302</v>
      </c>
      <c r="BE54" s="54"/>
      <c r="BF54" s="54"/>
    </row>
    <row r="55" spans="2:58">
      <c r="B55" s="18" t="s">
        <v>119</v>
      </c>
      <c r="C55" s="8"/>
      <c r="D55" s="63">
        <v>-1038.3109212030004</v>
      </c>
      <c r="E55" s="63">
        <v>-2047.1398422599996</v>
      </c>
      <c r="F55" s="63">
        <v>1964</v>
      </c>
      <c r="G55" s="63">
        <v>6160</v>
      </c>
      <c r="H55" s="63">
        <v>-8455</v>
      </c>
      <c r="I55" s="63">
        <v>-5000</v>
      </c>
      <c r="J55" s="63">
        <v>483</v>
      </c>
      <c r="K55" s="63">
        <f>SUM(K47:K54)</f>
        <v>-9321</v>
      </c>
      <c r="L55" s="54"/>
      <c r="M55" s="63">
        <v>-5639</v>
      </c>
      <c r="N55" s="63">
        <f>SUM(N47:N54)</f>
        <v>-15910</v>
      </c>
      <c r="O55" s="54"/>
      <c r="P55" s="63">
        <v>-150.61591745000015</v>
      </c>
      <c r="Q55" s="63">
        <v>-185.36705627000038</v>
      </c>
      <c r="R55" s="63">
        <v>212.58229196000048</v>
      </c>
      <c r="S55" s="63">
        <v>-1038.3109212030004</v>
      </c>
      <c r="T55" s="63">
        <v>276.51925667</v>
      </c>
      <c r="U55" s="63">
        <v>-291.88368559999844</v>
      </c>
      <c r="V55" s="63">
        <v>-1251.7028317799995</v>
      </c>
      <c r="W55" s="63">
        <v>-2047.1398422599996</v>
      </c>
      <c r="X55" s="63">
        <v>2919.497242370001</v>
      </c>
      <c r="Y55" s="63">
        <v>2579.1928348599977</v>
      </c>
      <c r="Z55" s="63">
        <v>861.33879151999645</v>
      </c>
      <c r="AA55" s="63">
        <v>1964</v>
      </c>
      <c r="AB55" s="63">
        <v>2064.4262352699998</v>
      </c>
      <c r="AC55" s="63">
        <v>3581.4511598900008</v>
      </c>
      <c r="AD55" s="63">
        <v>7555.4439776599938</v>
      </c>
      <c r="AE55" s="63">
        <v>6160</v>
      </c>
      <c r="AF55" s="63">
        <v>-4784.7425063699993</v>
      </c>
      <c r="AG55" s="63">
        <v>-5065</v>
      </c>
      <c r="AH55" s="63">
        <v>-6972</v>
      </c>
      <c r="AI55" s="63">
        <v>-8455</v>
      </c>
      <c r="AJ55" s="63">
        <v>1686.6166053399993</v>
      </c>
      <c r="AK55" s="63">
        <v>1012</v>
      </c>
      <c r="AL55" s="63">
        <v>-2429.3415797340022</v>
      </c>
      <c r="AM55" s="63">
        <v>-5000</v>
      </c>
      <c r="AN55" s="63">
        <v>2527.3932074412005</v>
      </c>
      <c r="AO55" s="63">
        <v>2040.1607023492106</v>
      </c>
      <c r="AP55" s="63">
        <f>SUM(AP47:AP54)</f>
        <v>-87.734469998365967</v>
      </c>
      <c r="AQ55" s="63">
        <v>483</v>
      </c>
      <c r="AR55" s="63">
        <v>2835.7077711000002</v>
      </c>
      <c r="AS55" s="63">
        <v>2641</v>
      </c>
      <c r="AT55" s="63">
        <f>SUM(AT47:AT54)</f>
        <v>-3943</v>
      </c>
      <c r="AU55" s="63">
        <f t="shared" si="9"/>
        <v>-9321</v>
      </c>
      <c r="AV55" s="54"/>
      <c r="AW55" s="63">
        <v>480.27955077847037</v>
      </c>
      <c r="AX55" s="63">
        <v>-906.94206028999179</v>
      </c>
      <c r="AY55" s="63">
        <f>SUM(AY47:AY54)</f>
        <v>-4851</v>
      </c>
      <c r="AZ55" s="63">
        <v>-5639</v>
      </c>
      <c r="BA55" s="63">
        <v>1354.2017889292183</v>
      </c>
      <c r="BB55" s="63">
        <v>-849</v>
      </c>
      <c r="BC55" s="63">
        <f>SUM(BC47:BC54)</f>
        <v>-8960</v>
      </c>
      <c r="BD55" s="63">
        <f t="shared" si="10"/>
        <v>-15910</v>
      </c>
      <c r="BE55" s="54"/>
      <c r="BF55" s="54"/>
    </row>
    <row r="56" spans="2:58">
      <c r="B56" s="20"/>
      <c r="C56" s="11"/>
      <c r="D56" s="58"/>
      <c r="E56" s="58"/>
      <c r="F56" s="58"/>
      <c r="G56" s="58"/>
      <c r="H56" s="58"/>
      <c r="I56" s="58"/>
      <c r="J56" s="58"/>
      <c r="K56" s="58"/>
      <c r="L56" s="54"/>
      <c r="M56" s="58"/>
      <c r="N56" s="58"/>
      <c r="O56" s="54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63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4"/>
      <c r="AW56" s="58"/>
      <c r="AX56" s="58"/>
      <c r="AY56" s="58"/>
      <c r="AZ56" s="58"/>
      <c r="BA56" s="58"/>
      <c r="BB56" s="58"/>
      <c r="BC56" s="58"/>
      <c r="BD56" s="58"/>
      <c r="BE56" s="54"/>
      <c r="BF56" s="54"/>
    </row>
    <row r="57" spans="2:58">
      <c r="B57" s="18" t="s">
        <v>120</v>
      </c>
      <c r="C57" s="8"/>
      <c r="D57" s="63">
        <v>-791.42659304055542</v>
      </c>
      <c r="E57" s="63">
        <v>-771.54364400511031</v>
      </c>
      <c r="F57" s="63">
        <v>809.88837475616219</v>
      </c>
      <c r="G57" s="63">
        <v>264</v>
      </c>
      <c r="H57" s="63">
        <v>511</v>
      </c>
      <c r="I57" s="63">
        <v>710</v>
      </c>
      <c r="J57" s="63">
        <v>180</v>
      </c>
      <c r="K57" s="63">
        <f>K34+K44+K55</f>
        <v>-1566</v>
      </c>
      <c r="L57" s="54"/>
      <c r="M57" s="63">
        <v>180</v>
      </c>
      <c r="N57" s="63">
        <f>N34+N44+N55</f>
        <v>-1566</v>
      </c>
      <c r="O57" s="54"/>
      <c r="P57" s="63">
        <v>-1600.5771975358771</v>
      </c>
      <c r="Q57" s="63">
        <v>-1777.631819617646</v>
      </c>
      <c r="R57" s="63">
        <v>-1164.7951417144982</v>
      </c>
      <c r="S57" s="63">
        <v>-791.42659304055542</v>
      </c>
      <c r="T57" s="63">
        <v>-1047.9858322746704</v>
      </c>
      <c r="U57" s="63">
        <v>-1145.4405248857549</v>
      </c>
      <c r="V57" s="63">
        <v>-1046.6156557824124</v>
      </c>
      <c r="W57" s="63">
        <v>-771.54364400510894</v>
      </c>
      <c r="X57" s="63">
        <v>1171.5595749818156</v>
      </c>
      <c r="Y57" s="63">
        <v>-12.327817918980145</v>
      </c>
      <c r="Z57" s="63">
        <v>-194.34586250709481</v>
      </c>
      <c r="AA57" s="63">
        <v>809.88837475616219</v>
      </c>
      <c r="AB57" s="63">
        <v>-1135.4343625702713</v>
      </c>
      <c r="AC57" s="63">
        <v>-1136.5822332533107</v>
      </c>
      <c r="AD57" s="63">
        <v>143.32968665746193</v>
      </c>
      <c r="AE57" s="63">
        <v>264</v>
      </c>
      <c r="AF57" s="63">
        <v>-983.59424110875716</v>
      </c>
      <c r="AG57" s="63">
        <v>-1322.3646166204662</v>
      </c>
      <c r="AH57" s="63">
        <v>-1479</v>
      </c>
      <c r="AI57" s="63">
        <v>511</v>
      </c>
      <c r="AJ57" s="63">
        <v>-1921.3191334093653</v>
      </c>
      <c r="AK57" s="63">
        <v>-1900</v>
      </c>
      <c r="AL57" s="63">
        <v>-1200.9677727931094</v>
      </c>
      <c r="AM57" s="63">
        <v>710</v>
      </c>
      <c r="AN57" s="63">
        <v>-2190.3783078407332</v>
      </c>
      <c r="AO57" s="63">
        <v>-2369.7756145391304</v>
      </c>
      <c r="AP57" s="63">
        <f>AP34+AP44+AP55</f>
        <v>-1676.2463561990692</v>
      </c>
      <c r="AQ57" s="63">
        <v>180</v>
      </c>
      <c r="AR57" s="63">
        <v>-1995.9744043999362</v>
      </c>
      <c r="AS57" s="63">
        <v>-2017</v>
      </c>
      <c r="AT57" s="63">
        <f>AT34+AT44+AT55</f>
        <v>-2618</v>
      </c>
      <c r="AU57" s="63">
        <f>K57</f>
        <v>-1566</v>
      </c>
      <c r="AV57" s="54"/>
      <c r="AW57" s="63">
        <v>-2190.2788280362524</v>
      </c>
      <c r="AX57" s="63">
        <v>-2370.2689231866743</v>
      </c>
      <c r="AY57" s="63">
        <f>AY34+AY44+AY55</f>
        <v>-1676</v>
      </c>
      <c r="AZ57" s="63">
        <v>180</v>
      </c>
      <c r="BA57" s="63">
        <v>-1995.9743134629352</v>
      </c>
      <c r="BB57" s="63">
        <v>-2017</v>
      </c>
      <c r="BC57" s="63">
        <f>BC34+BC44+BC55</f>
        <v>-2618</v>
      </c>
      <c r="BD57" s="63">
        <f t="shared" ref="BD57" si="11">N57</f>
        <v>-1566</v>
      </c>
      <c r="BE57" s="54"/>
      <c r="BF57" s="54"/>
    </row>
    <row r="58" spans="2:58">
      <c r="B58" s="20"/>
      <c r="C58" s="11"/>
      <c r="D58" s="58"/>
      <c r="E58" s="58"/>
      <c r="F58" s="58"/>
      <c r="G58" s="58"/>
      <c r="H58" s="58"/>
      <c r="I58" s="58"/>
      <c r="J58" s="58"/>
      <c r="K58" s="58"/>
      <c r="L58" s="54"/>
      <c r="M58" s="58"/>
      <c r="N58" s="58"/>
      <c r="O58" s="54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4"/>
      <c r="AW58" s="58"/>
      <c r="AX58" s="58"/>
      <c r="AY58" s="58"/>
      <c r="AZ58" s="58"/>
      <c r="BA58" s="58"/>
      <c r="BB58" s="58"/>
      <c r="BC58" s="58"/>
      <c r="BD58" s="58"/>
      <c r="BE58" s="54"/>
      <c r="BF58" s="54"/>
    </row>
    <row r="59" spans="2:58">
      <c r="B59" s="27" t="s">
        <v>121</v>
      </c>
      <c r="C59" s="8"/>
      <c r="D59" s="63">
        <v>2422.8468201414271</v>
      </c>
      <c r="E59" s="63">
        <v>1631.4202271008717</v>
      </c>
      <c r="F59" s="63">
        <v>859.87658309576136</v>
      </c>
      <c r="G59" s="63">
        <v>1670</v>
      </c>
      <c r="H59" s="63">
        <v>1934</v>
      </c>
      <c r="I59" s="63">
        <v>2445</v>
      </c>
      <c r="J59" s="63">
        <v>3155</v>
      </c>
      <c r="K59" s="63">
        <v>3335</v>
      </c>
      <c r="L59" s="54"/>
      <c r="M59" s="63">
        <v>3155</v>
      </c>
      <c r="N59" s="63">
        <v>3335</v>
      </c>
      <c r="O59" s="54"/>
      <c r="P59" s="63">
        <v>2422.8468201414271</v>
      </c>
      <c r="Q59" s="63">
        <v>2422.8468201414271</v>
      </c>
      <c r="R59" s="63">
        <v>2422.8468201414271</v>
      </c>
      <c r="S59" s="63">
        <v>2422.8468201414271</v>
      </c>
      <c r="T59" s="63">
        <v>1631.4202271008717</v>
      </c>
      <c r="U59" s="63">
        <v>1631.4202271008717</v>
      </c>
      <c r="V59" s="63">
        <v>1631.4202271008717</v>
      </c>
      <c r="W59" s="63">
        <v>1631.4202271008717</v>
      </c>
      <c r="X59" s="63">
        <v>859.87658309576273</v>
      </c>
      <c r="Y59" s="63">
        <v>859.87658309576273</v>
      </c>
      <c r="Z59" s="63">
        <v>859.87658309576273</v>
      </c>
      <c r="AA59" s="63">
        <v>859.87658309576136</v>
      </c>
      <c r="AB59" s="63">
        <v>1669.7649578519236</v>
      </c>
      <c r="AC59" s="63">
        <v>1669.7649578519236</v>
      </c>
      <c r="AD59" s="63">
        <v>1669.7649578519236</v>
      </c>
      <c r="AE59" s="63">
        <v>1670</v>
      </c>
      <c r="AF59" s="63">
        <v>1934</v>
      </c>
      <c r="AG59" s="63">
        <v>1934</v>
      </c>
      <c r="AH59" s="63">
        <v>1934</v>
      </c>
      <c r="AI59" s="63">
        <v>1934</v>
      </c>
      <c r="AJ59" s="63">
        <v>2445</v>
      </c>
      <c r="AK59" s="63">
        <v>2445</v>
      </c>
      <c r="AL59" s="63">
        <v>2445</v>
      </c>
      <c r="AM59" s="63">
        <v>2445</v>
      </c>
      <c r="AN59" s="63">
        <v>3155</v>
      </c>
      <c r="AO59" s="63">
        <v>3155</v>
      </c>
      <c r="AP59" s="63">
        <v>3155</v>
      </c>
      <c r="AQ59" s="63">
        <v>3155</v>
      </c>
      <c r="AR59" s="63">
        <v>3335</v>
      </c>
      <c r="AS59" s="63">
        <v>3335</v>
      </c>
      <c r="AT59" s="63">
        <v>3335</v>
      </c>
      <c r="AU59" s="63">
        <f>K59</f>
        <v>3335</v>
      </c>
      <c r="AV59" s="54"/>
      <c r="AW59" s="63">
        <v>3155</v>
      </c>
      <c r="AX59" s="63">
        <v>3155</v>
      </c>
      <c r="AY59" s="63">
        <v>3155</v>
      </c>
      <c r="AZ59" s="63">
        <v>3155</v>
      </c>
      <c r="BA59" s="63">
        <v>3335</v>
      </c>
      <c r="BB59" s="63">
        <v>3335</v>
      </c>
      <c r="BC59" s="63">
        <v>3335</v>
      </c>
      <c r="BD59" s="63">
        <f t="shared" ref="BD59" si="12">N59</f>
        <v>3335</v>
      </c>
      <c r="BE59" s="54"/>
      <c r="BF59" s="54"/>
    </row>
    <row r="60" spans="2:58">
      <c r="B60" s="20"/>
      <c r="C60" s="11"/>
      <c r="D60" s="58"/>
      <c r="E60" s="58"/>
      <c r="F60" s="58"/>
      <c r="G60" s="58"/>
      <c r="H60" s="58"/>
      <c r="I60" s="58"/>
      <c r="J60" s="58"/>
      <c r="K60" s="58"/>
      <c r="L60" s="54"/>
      <c r="M60" s="58"/>
      <c r="N60" s="58"/>
      <c r="O60" s="54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4"/>
      <c r="AW60" s="58"/>
      <c r="AX60" s="58"/>
      <c r="AY60" s="58"/>
      <c r="AZ60" s="58"/>
      <c r="BA60" s="58"/>
      <c r="BB60" s="58"/>
      <c r="BC60" s="58"/>
      <c r="BD60" s="58"/>
      <c r="BE60" s="54"/>
      <c r="BF60" s="54"/>
    </row>
    <row r="61" spans="2:58">
      <c r="B61" s="18" t="s">
        <v>122</v>
      </c>
      <c r="C61" s="8"/>
      <c r="D61" s="63">
        <v>1631.4202271008717</v>
      </c>
      <c r="E61" s="63">
        <v>859.87658309576136</v>
      </c>
      <c r="F61" s="63">
        <v>1669.7649578519236</v>
      </c>
      <c r="G61" s="63">
        <v>1934</v>
      </c>
      <c r="H61" s="63">
        <v>2445</v>
      </c>
      <c r="I61" s="63">
        <v>3155</v>
      </c>
      <c r="J61" s="63">
        <v>3335</v>
      </c>
      <c r="K61" s="63">
        <v>1769</v>
      </c>
      <c r="L61" s="54"/>
      <c r="M61" s="63">
        <v>3335</v>
      </c>
      <c r="N61" s="63">
        <v>1769</v>
      </c>
      <c r="O61" s="54"/>
      <c r="P61" s="63">
        <v>822.26962260555001</v>
      </c>
      <c r="Q61" s="63">
        <v>645.2150005237811</v>
      </c>
      <c r="R61" s="63">
        <v>1258.0516784269289</v>
      </c>
      <c r="S61" s="63">
        <v>1631.4202271008717</v>
      </c>
      <c r="T61" s="63">
        <v>583.43439482620124</v>
      </c>
      <c r="U61" s="63">
        <v>485.97970221511673</v>
      </c>
      <c r="V61" s="63">
        <v>584.80457131845924</v>
      </c>
      <c r="W61" s="63">
        <v>859.87658309576273</v>
      </c>
      <c r="X61" s="63">
        <v>2031.4361580775783</v>
      </c>
      <c r="Y61" s="63">
        <v>847.54876517678258</v>
      </c>
      <c r="Z61" s="63">
        <v>665.53072058866792</v>
      </c>
      <c r="AA61" s="63">
        <v>1669.7649578519236</v>
      </c>
      <c r="AB61" s="63">
        <v>534.33059528165222</v>
      </c>
      <c r="AC61" s="63">
        <v>533.18272459861282</v>
      </c>
      <c r="AD61" s="63">
        <v>1813.0946445093855</v>
      </c>
      <c r="AE61" s="63">
        <v>1934</v>
      </c>
      <c r="AF61" s="63">
        <v>950.40575889124284</v>
      </c>
      <c r="AG61" s="63">
        <v>611.63538337953378</v>
      </c>
      <c r="AH61" s="63">
        <v>455</v>
      </c>
      <c r="AI61" s="63">
        <v>2445</v>
      </c>
      <c r="AJ61" s="63">
        <v>523.68086659063465</v>
      </c>
      <c r="AK61" s="63">
        <v>545</v>
      </c>
      <c r="AL61" s="63">
        <v>1244.0322272068906</v>
      </c>
      <c r="AM61" s="63">
        <v>3155</v>
      </c>
      <c r="AN61" s="63">
        <v>964.62169215926679</v>
      </c>
      <c r="AO61" s="63">
        <v>785.2243854608696</v>
      </c>
      <c r="AP61" s="63">
        <f>AP59+AP57</f>
        <v>1478.7536438009308</v>
      </c>
      <c r="AQ61" s="63">
        <v>3335</v>
      </c>
      <c r="AR61" s="63">
        <v>1339.0255956000638</v>
      </c>
      <c r="AS61" s="63">
        <v>1318</v>
      </c>
      <c r="AT61" s="63">
        <f>AT59+AT57</f>
        <v>717</v>
      </c>
      <c r="AU61" s="63">
        <f>K61</f>
        <v>1769</v>
      </c>
      <c r="AV61" s="54"/>
      <c r="AW61" s="63">
        <v>964.72117196374757</v>
      </c>
      <c r="AX61" s="63">
        <v>784.73107681332567</v>
      </c>
      <c r="AY61" s="63">
        <f>AY59+AY57</f>
        <v>1479</v>
      </c>
      <c r="AZ61" s="63">
        <v>3335</v>
      </c>
      <c r="BA61" s="63">
        <v>1339.0256865370648</v>
      </c>
      <c r="BB61" s="63">
        <v>1318</v>
      </c>
      <c r="BC61" s="63">
        <f>BC59+BC57</f>
        <v>717</v>
      </c>
      <c r="BD61" s="63">
        <f t="shared" ref="BD61" si="13">N61</f>
        <v>1769</v>
      </c>
      <c r="BE61" s="54"/>
      <c r="BF61" s="54"/>
    </row>
    <row r="62" spans="2:58">
      <c r="Q62"/>
      <c r="R62"/>
      <c r="T62"/>
      <c r="U62"/>
      <c r="V62"/>
      <c r="X62"/>
      <c r="Y62"/>
      <c r="Z62"/>
      <c r="AB62"/>
      <c r="AC62"/>
      <c r="AD62"/>
      <c r="BE62" s="54"/>
      <c r="BF62" s="54"/>
    </row>
    <row r="63" spans="2:58">
      <c r="Q63"/>
      <c r="R63"/>
      <c r="T63"/>
      <c r="U63"/>
      <c r="V63"/>
      <c r="X63"/>
      <c r="Y63"/>
      <c r="Z63"/>
      <c r="AB63"/>
      <c r="AC63"/>
      <c r="AD63"/>
      <c r="BE63" s="54"/>
      <c r="BF63" s="54"/>
    </row>
    <row r="64" spans="2:58">
      <c r="Q64"/>
      <c r="R64"/>
      <c r="T64"/>
      <c r="U64"/>
      <c r="V64"/>
      <c r="X64"/>
      <c r="Y64"/>
      <c r="Z64"/>
      <c r="AB64"/>
      <c r="AC64"/>
      <c r="AD64"/>
      <c r="BE64" s="54"/>
      <c r="BF64" s="54"/>
    </row>
    <row r="65" spans="14:40">
      <c r="Q65"/>
      <c r="R65"/>
      <c r="T65"/>
      <c r="U65"/>
      <c r="V65"/>
      <c r="X65"/>
      <c r="Y65"/>
      <c r="Z65"/>
      <c r="AB65"/>
      <c r="AC65"/>
      <c r="AD65"/>
    </row>
    <row r="66" spans="14:40">
      <c r="Q66"/>
      <c r="R66"/>
      <c r="T66"/>
      <c r="U66"/>
      <c r="V66"/>
      <c r="X66"/>
      <c r="Y66"/>
      <c r="Z66"/>
      <c r="AB66"/>
      <c r="AC66"/>
      <c r="AD66"/>
    </row>
    <row r="67" spans="14:40">
      <c r="Q67"/>
      <c r="R67"/>
      <c r="T67"/>
      <c r="U67"/>
      <c r="V67"/>
      <c r="X67"/>
      <c r="Y67"/>
      <c r="Z67"/>
      <c r="AB67"/>
      <c r="AC67"/>
      <c r="AD67"/>
    </row>
    <row r="68" spans="14:40">
      <c r="Q68"/>
      <c r="R68"/>
      <c r="T68"/>
      <c r="U68"/>
      <c r="V68"/>
      <c r="X68"/>
      <c r="Y68"/>
      <c r="Z68"/>
      <c r="AB68"/>
      <c r="AC68"/>
      <c r="AD68"/>
    </row>
    <row r="69" spans="14:40">
      <c r="N69" s="56"/>
      <c r="AN69" s="55"/>
    </row>
    <row r="70" spans="14:40">
      <c r="AN70" s="55"/>
    </row>
    <row r="71" spans="14:40">
      <c r="N71" s="56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E43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20" sqref="K20"/>
    </sheetView>
  </sheetViews>
  <sheetFormatPr defaultRowHeight="14.4"/>
  <cols>
    <col min="1" max="1" width="3.33203125" customWidth="1"/>
    <col min="2" max="2" width="40.88671875" customWidth="1"/>
    <col min="3" max="3" width="8.88671875" customWidth="1"/>
    <col min="4" max="4" width="13.33203125" style="54" customWidth="1"/>
    <col min="5" max="6" width="8.88671875" style="54" customWidth="1"/>
    <col min="7" max="8" width="8.88671875" customWidth="1"/>
    <col min="9" max="9" width="8.5546875" customWidth="1"/>
    <col min="10" max="11" width="8.88671875" customWidth="1"/>
    <col min="12" max="12" width="10" customWidth="1"/>
    <col min="13" max="14" width="8.88671875" customWidth="1"/>
    <col min="15" max="15" width="32.109375" customWidth="1"/>
    <col min="16" max="16" width="8.88671875" style="54" customWidth="1"/>
    <col min="17" max="46" width="8.88671875" customWidth="1"/>
    <col min="47" max="47" width="8.88671875" style="89" customWidth="1"/>
    <col min="48" max="51" width="8.88671875" customWidth="1"/>
    <col min="55" max="55" width="9.88671875" customWidth="1"/>
    <col min="56" max="56" width="9.88671875" style="89" customWidth="1"/>
  </cols>
  <sheetData>
    <row r="2" spans="2:57" ht="34.799999999999997">
      <c r="B2" s="118" t="str">
        <f>Content!B16</f>
        <v>Selling, General and Administrative Expenses (SG&amp;A)</v>
      </c>
    </row>
    <row r="3" spans="2:57" ht="16.8">
      <c r="B3" s="117" t="s">
        <v>0</v>
      </c>
    </row>
    <row r="4" spans="2:57">
      <c r="B4" s="119"/>
    </row>
    <row r="5" spans="2:57" ht="15" thickBot="1">
      <c r="B5" s="2"/>
      <c r="AY5" s="102" t="s">
        <v>190</v>
      </c>
    </row>
    <row r="6" spans="2:57" ht="15" thickTop="1">
      <c r="B6" s="121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59" t="str">
        <f>I6</f>
        <v>IAS 17</v>
      </c>
      <c r="M6" s="4" t="str">
        <f>'Financial Position'!M6</f>
        <v>IFRS 16</v>
      </c>
      <c r="N6" s="59" t="str">
        <f>'Financial Position'!N6</f>
        <v>IFRS 16</v>
      </c>
      <c r="O6" s="13"/>
      <c r="P6" s="59" t="str">
        <f>I6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AM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W6" s="4" t="str">
        <f>M6</f>
        <v>IFRS 16</v>
      </c>
      <c r="AX6" s="4" t="str">
        <f t="shared" ref="AX6:AZ6" si="3">AW6</f>
        <v>IFRS 16</v>
      </c>
      <c r="AY6" s="4" t="str">
        <f t="shared" si="3"/>
        <v>IFRS 16</v>
      </c>
      <c r="AZ6" s="4" t="str">
        <f t="shared" si="3"/>
        <v>IFRS 16</v>
      </c>
      <c r="BA6" s="4" t="str">
        <f>AW6</f>
        <v>IFRS 16</v>
      </c>
      <c r="BB6" s="4" t="str">
        <f t="shared" ref="BB6:BD6" si="4">BA6</f>
        <v>IFRS 16</v>
      </c>
      <c r="BC6" s="59" t="str">
        <f t="shared" si="4"/>
        <v>IFRS 16</v>
      </c>
      <c r="BD6" s="59" t="str">
        <f t="shared" si="4"/>
        <v>IFRS 16</v>
      </c>
    </row>
    <row r="7" spans="2:57" ht="15" thickBot="1">
      <c r="B7" s="122"/>
      <c r="C7" s="85"/>
      <c r="D7" s="60">
        <v>2012</v>
      </c>
      <c r="E7" s="60">
        <v>2013</v>
      </c>
      <c r="F7" s="60">
        <v>2014</v>
      </c>
      <c r="G7" s="85">
        <f>F7+1</f>
        <v>2015</v>
      </c>
      <c r="H7" s="85">
        <f t="shared" ref="H7:I7" si="5">G7+1</f>
        <v>2016</v>
      </c>
      <c r="I7" s="85">
        <f t="shared" si="5"/>
        <v>2017</v>
      </c>
      <c r="J7" s="85">
        <f>M7</f>
        <v>2018</v>
      </c>
      <c r="K7" s="60">
        <v>2019</v>
      </c>
      <c r="M7" s="85">
        <f>I7+1</f>
        <v>2018</v>
      </c>
      <c r="N7" s="60">
        <f>J7+1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60" t="s">
        <v>19</v>
      </c>
      <c r="AD7" s="60" t="s">
        <v>20</v>
      </c>
      <c r="AE7" s="85" t="s">
        <v>21</v>
      </c>
      <c r="AF7" s="85" t="s">
        <v>22</v>
      </c>
      <c r="AG7" s="85" t="s">
        <v>23</v>
      </c>
      <c r="AH7" s="85" t="s">
        <v>24</v>
      </c>
      <c r="AI7" s="85" t="s">
        <v>25</v>
      </c>
      <c r="AJ7" s="85" t="s">
        <v>26</v>
      </c>
      <c r="AK7" s="85" t="s">
        <v>27</v>
      </c>
      <c r="AL7" s="85" t="s">
        <v>28</v>
      </c>
      <c r="AM7" s="85" t="s">
        <v>29</v>
      </c>
      <c r="AN7" s="85" t="s">
        <v>47</v>
      </c>
      <c r="AO7" s="85" t="s">
        <v>48</v>
      </c>
      <c r="AP7" s="85" t="s">
        <v>49</v>
      </c>
      <c r="AQ7" s="85" t="s">
        <v>50</v>
      </c>
      <c r="AR7" s="85" t="s">
        <v>167</v>
      </c>
      <c r="AS7" s="85" t="s">
        <v>168</v>
      </c>
      <c r="AT7" s="85" t="s">
        <v>169</v>
      </c>
      <c r="AU7" s="104" t="s">
        <v>170</v>
      </c>
      <c r="AW7" s="85" t="s">
        <v>47</v>
      </c>
      <c r="AX7" s="85" t="s">
        <v>48</v>
      </c>
      <c r="AY7" s="85" t="s">
        <v>49</v>
      </c>
      <c r="AZ7" s="85" t="s">
        <v>50</v>
      </c>
      <c r="BA7" s="85" t="s">
        <v>167</v>
      </c>
      <c r="BB7" s="85" t="s">
        <v>168</v>
      </c>
      <c r="BC7" s="60" t="s">
        <v>169</v>
      </c>
      <c r="BD7" s="60" t="s">
        <v>170</v>
      </c>
    </row>
    <row r="8" spans="2:57" ht="15" thickTop="1">
      <c r="B8" s="28"/>
      <c r="C8" s="10"/>
      <c r="D8" s="62"/>
      <c r="E8" s="62"/>
      <c r="F8" s="62"/>
      <c r="G8" s="10"/>
      <c r="H8" s="10"/>
      <c r="I8" s="10"/>
      <c r="J8" s="10"/>
      <c r="K8" s="62"/>
      <c r="M8" s="10"/>
      <c r="N8" s="62"/>
      <c r="O8" s="1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W8" s="13"/>
      <c r="AX8" s="13"/>
      <c r="AY8" s="13"/>
      <c r="BC8" s="54"/>
      <c r="BD8" s="54"/>
    </row>
    <row r="9" spans="2:57">
      <c r="B9" s="28" t="s">
        <v>124</v>
      </c>
      <c r="C9" s="10"/>
      <c r="D9" s="62">
        <f>123211*31.093/1000-D16</f>
        <v>3811.4110330000003</v>
      </c>
      <c r="E9" s="62">
        <f>4491.94799550861-E16</f>
        <v>4491.9479955086099</v>
      </c>
      <c r="F9" s="62">
        <f>5216.9910625226-F16</f>
        <v>4500.9910625226003</v>
      </c>
      <c r="G9" s="62">
        <f>6809-G16</f>
        <v>5747</v>
      </c>
      <c r="H9" s="62">
        <f>7106-H16</f>
        <v>7098</v>
      </c>
      <c r="I9" s="62">
        <v>7843</v>
      </c>
      <c r="J9" s="62">
        <f>9609-J16</f>
        <v>8826</v>
      </c>
      <c r="K9" s="62">
        <f>11154-K16</f>
        <v>10255</v>
      </c>
      <c r="L9" s="54"/>
      <c r="M9" s="62">
        <f>9609-M16</f>
        <v>8826</v>
      </c>
      <c r="N9" s="62">
        <f>11154-N16</f>
        <v>10255</v>
      </c>
      <c r="O9" s="10"/>
      <c r="P9" s="62">
        <v>843.49486477929997</v>
      </c>
      <c r="Q9" s="62">
        <v>841.60781023169</v>
      </c>
      <c r="R9" s="62">
        <v>918.17596700427021</v>
      </c>
      <c r="S9" s="62">
        <v>1208.1323909847401</v>
      </c>
      <c r="T9" s="62">
        <v>1077.8129018193699</v>
      </c>
      <c r="U9" s="62">
        <v>1054.4951978868498</v>
      </c>
      <c r="V9" s="62">
        <v>1042.5654600150801</v>
      </c>
      <c r="W9" s="62">
        <v>1317.07443578731</v>
      </c>
      <c r="X9" s="62">
        <v>1094.8969454124397</v>
      </c>
      <c r="Y9" s="62">
        <v>921.921659553984</v>
      </c>
      <c r="Z9" s="62">
        <v>1045.1627051121745</v>
      </c>
      <c r="AA9" s="62">
        <v>1439.0097524440021</v>
      </c>
      <c r="AB9" s="62">
        <v>1352</v>
      </c>
      <c r="AC9" s="62">
        <v>1205</v>
      </c>
      <c r="AD9" s="62">
        <v>1319</v>
      </c>
      <c r="AE9" s="62">
        <v>1871</v>
      </c>
      <c r="AF9" s="62">
        <v>1663</v>
      </c>
      <c r="AG9" s="62">
        <v>1493</v>
      </c>
      <c r="AH9" s="62">
        <v>1712</v>
      </c>
      <c r="AI9" s="62">
        <v>2230</v>
      </c>
      <c r="AJ9" s="62">
        <v>1955</v>
      </c>
      <c r="AK9" s="62">
        <v>1736</v>
      </c>
      <c r="AL9" s="62">
        <v>1810</v>
      </c>
      <c r="AM9" s="62">
        <v>2342</v>
      </c>
      <c r="AN9" s="62">
        <v>2133</v>
      </c>
      <c r="AO9" s="62">
        <v>2014</v>
      </c>
      <c r="AP9" s="62">
        <v>2140</v>
      </c>
      <c r="AQ9" s="62">
        <v>2539</v>
      </c>
      <c r="AR9" s="62">
        <v>2397</v>
      </c>
      <c r="AS9" s="62">
        <v>2393.7192436794503</v>
      </c>
      <c r="AT9" s="62">
        <f>2525-AT16</f>
        <v>2419</v>
      </c>
      <c r="AU9" s="62">
        <f>K9-AT9-AS9-AR9</f>
        <v>3045.2807563205497</v>
      </c>
      <c r="AW9" s="62">
        <v>2133</v>
      </c>
      <c r="AX9" s="62">
        <v>2014</v>
      </c>
      <c r="AY9" s="62">
        <v>2140</v>
      </c>
      <c r="AZ9" s="62">
        <v>2539</v>
      </c>
      <c r="BA9" s="62">
        <v>2397</v>
      </c>
      <c r="BB9" s="62">
        <v>2393.7192436794503</v>
      </c>
      <c r="BC9" s="62">
        <f>2525-BC16</f>
        <v>2419</v>
      </c>
      <c r="BD9" s="62">
        <f>N9-BC9-BB9-BA9</f>
        <v>3045.2807563205497</v>
      </c>
      <c r="BE9" s="103"/>
    </row>
    <row r="10" spans="2:57">
      <c r="B10" s="28" t="s">
        <v>125</v>
      </c>
      <c r="C10" s="10"/>
      <c r="D10" s="62">
        <f>119720*31.093/1000</f>
        <v>3722.4539599999998</v>
      </c>
      <c r="E10" s="62">
        <v>4715.3240032672365</v>
      </c>
      <c r="F10" s="62">
        <v>5798.6196400217304</v>
      </c>
      <c r="G10" s="62">
        <v>7073</v>
      </c>
      <c r="H10" s="62">
        <v>8191</v>
      </c>
      <c r="I10" s="62">
        <v>9538</v>
      </c>
      <c r="J10" s="62">
        <v>10186</v>
      </c>
      <c r="K10" s="62">
        <v>11028</v>
      </c>
      <c r="L10" s="54"/>
      <c r="M10" s="62">
        <v>1595</v>
      </c>
      <c r="N10" s="62">
        <v>1891</v>
      </c>
      <c r="O10" s="10"/>
      <c r="P10" s="62">
        <v>771.27559071865608</v>
      </c>
      <c r="Q10" s="62">
        <v>792.51917315231935</v>
      </c>
      <c r="R10" s="62">
        <v>901.02184160374759</v>
      </c>
      <c r="S10" s="62">
        <v>1257.6373545252768</v>
      </c>
      <c r="T10" s="62">
        <v>972.0044763686019</v>
      </c>
      <c r="U10" s="62">
        <v>1060.1972232692576</v>
      </c>
      <c r="V10" s="62">
        <v>1124.358048831348</v>
      </c>
      <c r="W10" s="62">
        <v>1558.764254798029</v>
      </c>
      <c r="X10" s="62">
        <v>1325.2911697756108</v>
      </c>
      <c r="Y10" s="62">
        <v>1293.5393367790134</v>
      </c>
      <c r="Z10" s="62">
        <v>1466.1021556438372</v>
      </c>
      <c r="AA10" s="62">
        <v>1713.686977823269</v>
      </c>
      <c r="AB10" s="62">
        <v>1703</v>
      </c>
      <c r="AC10" s="62">
        <v>1645</v>
      </c>
      <c r="AD10" s="62">
        <v>1756</v>
      </c>
      <c r="AE10" s="62">
        <v>1969</v>
      </c>
      <c r="AF10" s="62">
        <v>2086</v>
      </c>
      <c r="AG10" s="62">
        <v>1877</v>
      </c>
      <c r="AH10" s="62">
        <v>2008</v>
      </c>
      <c r="AI10" s="62">
        <v>2220</v>
      </c>
      <c r="AJ10" s="62">
        <v>2362</v>
      </c>
      <c r="AK10" s="62">
        <v>2247</v>
      </c>
      <c r="AL10" s="62">
        <v>2316</v>
      </c>
      <c r="AM10" s="62">
        <v>2613</v>
      </c>
      <c r="AN10" s="62">
        <v>2372</v>
      </c>
      <c r="AO10" s="62">
        <v>2403</v>
      </c>
      <c r="AP10" s="62">
        <v>2531</v>
      </c>
      <c r="AQ10" s="62">
        <v>2880</v>
      </c>
      <c r="AR10" s="62">
        <v>2679</v>
      </c>
      <c r="AS10" s="62">
        <v>2559.5086183640178</v>
      </c>
      <c r="AT10" s="62">
        <v>2689</v>
      </c>
      <c r="AU10" s="62">
        <f t="shared" ref="AU10:AU13" si="6">K10-AT10-AS10-AR10</f>
        <v>3100.4913816359822</v>
      </c>
      <c r="AW10" s="62">
        <v>324</v>
      </c>
      <c r="AX10" s="62">
        <v>391</v>
      </c>
      <c r="AY10" s="62">
        <v>331</v>
      </c>
      <c r="AZ10" s="62">
        <v>549</v>
      </c>
      <c r="BA10" s="62">
        <v>389</v>
      </c>
      <c r="BB10" s="62">
        <v>317</v>
      </c>
      <c r="BC10" s="62">
        <v>472</v>
      </c>
      <c r="BD10" s="62">
        <f t="shared" ref="BD10:BD12" si="7">N10-BC10-BB10-BA10</f>
        <v>713</v>
      </c>
      <c r="BE10" s="62"/>
    </row>
    <row r="11" spans="2:57">
      <c r="B11" s="28" t="s">
        <v>126</v>
      </c>
      <c r="C11" s="10"/>
      <c r="D11" s="62">
        <f>16026*31.093/1000</f>
        <v>498.29641800000002</v>
      </c>
      <c r="E11" s="62">
        <v>567.14039227960984</v>
      </c>
      <c r="F11" s="62">
        <v>781.86081397818589</v>
      </c>
      <c r="G11" s="62">
        <v>1091</v>
      </c>
      <c r="H11" s="62">
        <v>1058</v>
      </c>
      <c r="I11" s="62">
        <v>1552</v>
      </c>
      <c r="J11" s="62">
        <v>1494</v>
      </c>
      <c r="K11" s="62">
        <v>1399</v>
      </c>
      <c r="L11" s="54"/>
      <c r="M11" s="62">
        <v>1494</v>
      </c>
      <c r="N11" s="62">
        <v>1399</v>
      </c>
      <c r="O11" s="10"/>
      <c r="P11" s="62">
        <v>148.20425163855316</v>
      </c>
      <c r="Q11" s="62">
        <v>71.71891148304897</v>
      </c>
      <c r="R11" s="62">
        <v>56.993609336304161</v>
      </c>
      <c r="S11" s="62">
        <v>221.37964554209373</v>
      </c>
      <c r="T11" s="62">
        <v>-32.505395574500497</v>
      </c>
      <c r="U11" s="62">
        <v>-157.90979790984636</v>
      </c>
      <c r="V11" s="62">
        <v>215.77589428890502</v>
      </c>
      <c r="W11" s="62">
        <v>541.77969147505166</v>
      </c>
      <c r="X11" s="62">
        <v>165.18039077779662</v>
      </c>
      <c r="Y11" s="62">
        <v>138.13400179182855</v>
      </c>
      <c r="Z11" s="62">
        <v>190.83604951496676</v>
      </c>
      <c r="AA11" s="62">
        <v>287.71037189359396</v>
      </c>
      <c r="AB11" s="62">
        <v>163</v>
      </c>
      <c r="AC11" s="62">
        <v>206</v>
      </c>
      <c r="AD11" s="62">
        <v>227</v>
      </c>
      <c r="AE11" s="62">
        <v>495</v>
      </c>
      <c r="AF11" s="62">
        <v>285</v>
      </c>
      <c r="AG11" s="62">
        <v>186</v>
      </c>
      <c r="AH11" s="62">
        <v>200</v>
      </c>
      <c r="AI11" s="62">
        <v>387</v>
      </c>
      <c r="AJ11" s="62">
        <v>292</v>
      </c>
      <c r="AK11" s="62">
        <v>304</v>
      </c>
      <c r="AL11" s="62">
        <v>359</v>
      </c>
      <c r="AM11" s="62">
        <v>597</v>
      </c>
      <c r="AN11" s="62">
        <v>336</v>
      </c>
      <c r="AO11" s="62">
        <v>235</v>
      </c>
      <c r="AP11" s="62">
        <v>331</v>
      </c>
      <c r="AQ11" s="62">
        <v>592</v>
      </c>
      <c r="AR11" s="62">
        <v>319</v>
      </c>
      <c r="AS11" s="62">
        <v>168.69591009908652</v>
      </c>
      <c r="AT11" s="62">
        <v>335</v>
      </c>
      <c r="AU11" s="62">
        <f t="shared" si="6"/>
        <v>576.30408990091348</v>
      </c>
      <c r="AW11" s="62">
        <v>336</v>
      </c>
      <c r="AX11" s="62">
        <v>235</v>
      </c>
      <c r="AY11" s="62">
        <v>331</v>
      </c>
      <c r="AZ11" s="62">
        <v>592</v>
      </c>
      <c r="BA11" s="62">
        <v>319</v>
      </c>
      <c r="BB11" s="62">
        <v>168.69591009908652</v>
      </c>
      <c r="BC11" s="62">
        <v>335</v>
      </c>
      <c r="BD11" s="62">
        <f t="shared" si="7"/>
        <v>576.30408990091348</v>
      </c>
      <c r="BE11" s="62"/>
    </row>
    <row r="12" spans="2:57">
      <c r="B12" s="52" t="s">
        <v>127</v>
      </c>
      <c r="C12" s="52"/>
      <c r="D12" s="58">
        <f>299942*31.093/1000-D9-D10-D11-D16</f>
        <v>1274.3466050000009</v>
      </c>
      <c r="E12" s="58">
        <v>1380.7205454136777</v>
      </c>
      <c r="F12" s="58">
        <v>1725.1023224143789</v>
      </c>
      <c r="G12" s="58">
        <v>1798</v>
      </c>
      <c r="H12" s="58">
        <v>2537</v>
      </c>
      <c r="I12" s="58">
        <v>3194</v>
      </c>
      <c r="J12" s="58">
        <v>3609</v>
      </c>
      <c r="K12" s="58">
        <f>30247-K9-K10-K11-K15-K16</f>
        <v>4117</v>
      </c>
      <c r="L12" s="54"/>
      <c r="M12" s="58">
        <v>3752</v>
      </c>
      <c r="N12" s="58">
        <f>28631-N9-N10-N11-N15-N16</f>
        <v>4182</v>
      </c>
      <c r="O12" s="10"/>
      <c r="P12" s="58">
        <v>482.70553426583371</v>
      </c>
      <c r="Q12" s="58">
        <v>463.39499422338014</v>
      </c>
      <c r="R12" s="58">
        <v>501.16481118223908</v>
      </c>
      <c r="S12" s="58">
        <v>-172.91873467145206</v>
      </c>
      <c r="T12" s="58">
        <v>514.9021484673035</v>
      </c>
      <c r="U12" s="58">
        <v>480.08339219227094</v>
      </c>
      <c r="V12" s="58">
        <v>563.19762614499052</v>
      </c>
      <c r="W12" s="58">
        <v>-177.46262139088731</v>
      </c>
      <c r="X12" s="58">
        <v>333.31493269133733</v>
      </c>
      <c r="Y12" s="58">
        <v>347.59108802901955</v>
      </c>
      <c r="Z12" s="58">
        <v>342.70357546388288</v>
      </c>
      <c r="AA12" s="58">
        <v>701.49272623013917</v>
      </c>
      <c r="AB12" s="58">
        <v>465.5570070290546</v>
      </c>
      <c r="AC12" s="58">
        <v>383.4429929709454</v>
      </c>
      <c r="AD12" s="58">
        <v>443</v>
      </c>
      <c r="AE12" s="58">
        <v>506</v>
      </c>
      <c r="AF12" s="58">
        <v>631.67049388634678</v>
      </c>
      <c r="AG12" s="58">
        <v>601.41489472587728</v>
      </c>
      <c r="AH12" s="58">
        <v>609.91461138777595</v>
      </c>
      <c r="AI12" s="58">
        <v>694</v>
      </c>
      <c r="AJ12" s="58">
        <v>736.166386137671</v>
      </c>
      <c r="AK12" s="58">
        <v>779.833613862329</v>
      </c>
      <c r="AL12" s="58">
        <v>746.92106758728187</v>
      </c>
      <c r="AM12" s="58">
        <v>931.07893241271813</v>
      </c>
      <c r="AN12" s="58">
        <v>814.25496245425256</v>
      </c>
      <c r="AO12" s="58">
        <v>791.92506793059783</v>
      </c>
      <c r="AP12" s="58">
        <v>867.07782486697397</v>
      </c>
      <c r="AQ12" s="58">
        <v>1135.7421447481756</v>
      </c>
      <c r="AR12" s="58">
        <v>809.42119728698526</v>
      </c>
      <c r="AS12" s="58">
        <v>932.11703057046111</v>
      </c>
      <c r="AT12" s="58">
        <v>1052</v>
      </c>
      <c r="AU12" s="58">
        <f t="shared" si="6"/>
        <v>1323.4617721425539</v>
      </c>
      <c r="AW12" s="58">
        <v>815.34130579152043</v>
      </c>
      <c r="AX12" s="58">
        <v>791.0674866238478</v>
      </c>
      <c r="AY12" s="58">
        <v>868</v>
      </c>
      <c r="AZ12" s="58">
        <v>1277.5912075846318</v>
      </c>
      <c r="BA12" s="58">
        <v>808.87761609214522</v>
      </c>
      <c r="BB12" s="58">
        <v>882.7072301293183</v>
      </c>
      <c r="BC12" s="58">
        <v>1102</v>
      </c>
      <c r="BD12" s="58">
        <f t="shared" si="7"/>
        <v>1388.4151537785365</v>
      </c>
      <c r="BE12" s="101"/>
    </row>
    <row r="13" spans="2:57">
      <c r="B13" s="18" t="s">
        <v>171</v>
      </c>
      <c r="C13" s="8"/>
      <c r="D13" s="63">
        <f>D12+D11+D10+D9</f>
        <v>9306.5080160000016</v>
      </c>
      <c r="E13" s="63">
        <f t="shared" ref="E13:I13" si="8">E12+E11+E10+E9</f>
        <v>11155.132936469134</v>
      </c>
      <c r="F13" s="63">
        <f t="shared" si="8"/>
        <v>12806.573838936896</v>
      </c>
      <c r="G13" s="63">
        <f t="shared" si="8"/>
        <v>15709</v>
      </c>
      <c r="H13" s="63">
        <f t="shared" si="8"/>
        <v>18884</v>
      </c>
      <c r="I13" s="63">
        <f t="shared" si="8"/>
        <v>22127</v>
      </c>
      <c r="J13" s="63">
        <f>J12+J11+J10+J9</f>
        <v>24115</v>
      </c>
      <c r="K13" s="63">
        <f>K12+K11+K10+K9</f>
        <v>26799</v>
      </c>
      <c r="L13" s="54"/>
      <c r="M13" s="63">
        <f>M12+M11+M10+M9</f>
        <v>15667</v>
      </c>
      <c r="N13" s="63">
        <f>N12+N11+N10+N9</f>
        <v>17727</v>
      </c>
      <c r="P13" s="63">
        <v>2245.6802414023427</v>
      </c>
      <c r="Q13" s="63">
        <v>2169.2408890904385</v>
      </c>
      <c r="R13" s="63">
        <v>2377.3562291265607</v>
      </c>
      <c r="S13" s="63">
        <v>2514.2306563806596</v>
      </c>
      <c r="T13" s="63">
        <v>2532.2141310807747</v>
      </c>
      <c r="U13" s="63">
        <v>2436.8660154385325</v>
      </c>
      <c r="V13" s="63">
        <v>2945.8970292803233</v>
      </c>
      <c r="W13" s="63">
        <v>3240.1557606695033</v>
      </c>
      <c r="X13" s="63">
        <v>2918.6834386571845</v>
      </c>
      <c r="Y13" s="63">
        <v>2701.1860861538453</v>
      </c>
      <c r="Z13" s="63">
        <v>3044.8044857348623</v>
      </c>
      <c r="AA13" s="63">
        <v>4141.8998283910041</v>
      </c>
      <c r="AB13" s="63">
        <v>3683.5570070290546</v>
      </c>
      <c r="AC13" s="63">
        <v>3439.4429929709454</v>
      </c>
      <c r="AD13" s="63">
        <v>3745</v>
      </c>
      <c r="AE13" s="63">
        <v>4841</v>
      </c>
      <c r="AF13" s="63">
        <v>4665.6704938863468</v>
      </c>
      <c r="AG13" s="63">
        <v>4157.4148947258773</v>
      </c>
      <c r="AH13" s="63">
        <v>4529.9146113877759</v>
      </c>
      <c r="AI13" s="63">
        <v>5531</v>
      </c>
      <c r="AJ13" s="63">
        <v>5345.166386137671</v>
      </c>
      <c r="AK13" s="63">
        <v>5066.833613862329</v>
      </c>
      <c r="AL13" s="63">
        <v>5231.9210675872819</v>
      </c>
      <c r="AM13" s="63">
        <v>6483.0789324127181</v>
      </c>
      <c r="AN13" s="63">
        <v>5655.2549624542526</v>
      </c>
      <c r="AO13" s="63">
        <v>5443.9250679305978</v>
      </c>
      <c r="AP13" s="63">
        <v>5869.077824866974</v>
      </c>
      <c r="AQ13" s="63">
        <v>7146.7421447481756</v>
      </c>
      <c r="AR13" s="63">
        <v>6204.4211972869853</v>
      </c>
      <c r="AS13" s="63">
        <v>6054.0408027130161</v>
      </c>
      <c r="AT13" s="63">
        <f>SUM(AT9:AT12)</f>
        <v>6495</v>
      </c>
      <c r="AU13" s="63">
        <f t="shared" si="6"/>
        <v>8045.5379999999986</v>
      </c>
      <c r="AW13" s="63">
        <f t="shared" ref="AW13:BC13" si="9">SUM(AW9:AW12)</f>
        <v>3608.3413057915204</v>
      </c>
      <c r="AX13" s="63">
        <f t="shared" si="9"/>
        <v>3431.0674866238478</v>
      </c>
      <c r="AY13" s="63">
        <f t="shared" si="9"/>
        <v>3670</v>
      </c>
      <c r="AZ13" s="63">
        <f t="shared" si="9"/>
        <v>4957.5912075846318</v>
      </c>
      <c r="BA13" s="63">
        <f t="shared" si="9"/>
        <v>3913.8776160921452</v>
      </c>
      <c r="BB13" s="63">
        <f t="shared" si="9"/>
        <v>3762.1223839078552</v>
      </c>
      <c r="BC13" s="63">
        <f t="shared" si="9"/>
        <v>4328</v>
      </c>
      <c r="BD13" s="63">
        <f>N13-BC13-BB13-BA13</f>
        <v>5722.9999999999991</v>
      </c>
      <c r="BE13" s="101"/>
    </row>
    <row r="14" spans="2:57">
      <c r="B14" s="53"/>
      <c r="C14" s="53"/>
      <c r="D14" s="68"/>
      <c r="E14" s="68"/>
      <c r="F14" s="68"/>
      <c r="G14" s="68"/>
      <c r="H14" s="68"/>
      <c r="I14" s="68"/>
      <c r="J14" s="68"/>
      <c r="K14" s="68"/>
      <c r="L14" s="54"/>
      <c r="M14" s="68"/>
      <c r="N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W14" s="68"/>
      <c r="AX14" s="68"/>
      <c r="AY14" s="68"/>
      <c r="AZ14" s="68"/>
      <c r="BA14" s="68"/>
      <c r="BB14" s="68"/>
      <c r="BC14" s="68"/>
      <c r="BD14" s="68"/>
    </row>
    <row r="15" spans="2:57">
      <c r="B15" s="51" t="s">
        <v>32</v>
      </c>
      <c r="C15" s="10"/>
      <c r="D15" s="62">
        <f>18665*31.093/1000</f>
        <v>580.35084499999994</v>
      </c>
      <c r="E15" s="62">
        <v>634.14049152149596</v>
      </c>
      <c r="F15" s="62">
        <v>739.69301955681601</v>
      </c>
      <c r="G15" s="62">
        <v>954</v>
      </c>
      <c r="H15" s="62">
        <v>1591</v>
      </c>
      <c r="I15" s="62">
        <v>1818</v>
      </c>
      <c r="J15" s="62">
        <v>2113</v>
      </c>
      <c r="K15" s="62">
        <v>2549</v>
      </c>
      <c r="L15" s="54"/>
      <c r="M15" s="62">
        <f>'Cash Flows'!M13</f>
        <v>9100</v>
      </c>
      <c r="N15" s="62">
        <v>10005</v>
      </c>
      <c r="P15" s="62">
        <v>135.60138252425901</v>
      </c>
      <c r="Q15" s="62">
        <v>139.78555000290902</v>
      </c>
      <c r="R15" s="62">
        <v>150.04314935559484</v>
      </c>
      <c r="S15" s="62">
        <v>154.92076311723707</v>
      </c>
      <c r="T15" s="62">
        <v>150.14974985878635</v>
      </c>
      <c r="U15" s="62">
        <v>155.74278831780296</v>
      </c>
      <c r="V15" s="62">
        <v>161.60094667678266</v>
      </c>
      <c r="W15" s="62">
        <v>166.64700666812399</v>
      </c>
      <c r="X15" s="62">
        <v>176.0837953802108</v>
      </c>
      <c r="Y15" s="62">
        <v>175.19213576165856</v>
      </c>
      <c r="Z15" s="62">
        <v>182.564611016708</v>
      </c>
      <c r="AA15" s="62">
        <v>205.85247739823865</v>
      </c>
      <c r="AB15" s="62">
        <v>182</v>
      </c>
      <c r="AC15" s="62">
        <v>228</v>
      </c>
      <c r="AD15" s="62">
        <v>228</v>
      </c>
      <c r="AE15" s="62">
        <v>316</v>
      </c>
      <c r="AF15" s="62">
        <v>370.32950611365362</v>
      </c>
      <c r="AG15" s="62">
        <v>400.58510527412233</v>
      </c>
      <c r="AH15" s="62">
        <v>405.08538861222405</v>
      </c>
      <c r="AI15" s="62">
        <v>415</v>
      </c>
      <c r="AJ15" s="62">
        <v>426.39253493706138</v>
      </c>
      <c r="AK15" s="62">
        <v>447.60746506293862</v>
      </c>
      <c r="AL15" s="62">
        <v>456.97031303953463</v>
      </c>
      <c r="AM15" s="62">
        <v>487.02968696046537</v>
      </c>
      <c r="AN15" s="62">
        <v>508.44241790857899</v>
      </c>
      <c r="AO15" s="62">
        <v>520.37755170657101</v>
      </c>
      <c r="AP15" s="62">
        <v>547.65189973043539</v>
      </c>
      <c r="AQ15" s="62">
        <v>536.52813065441455</v>
      </c>
      <c r="AR15" s="62">
        <v>592.21089179800549</v>
      </c>
      <c r="AS15" s="62">
        <v>633.25810820199456</v>
      </c>
      <c r="AT15" s="62">
        <v>661</v>
      </c>
      <c r="AU15" s="62">
        <f t="shared" ref="AU15:AU16" si="10">K15-AT15-AS15-AR15</f>
        <v>662.53099999999984</v>
      </c>
      <c r="AW15" s="62">
        <v>2262.4308371083425</v>
      </c>
      <c r="AX15" s="62">
        <v>2432.5691628916575</v>
      </c>
      <c r="AY15" s="62">
        <v>2156</v>
      </c>
      <c r="AZ15" s="62">
        <v>2249</v>
      </c>
      <c r="BA15" s="62">
        <v>2444</v>
      </c>
      <c r="BB15" s="62">
        <v>2431</v>
      </c>
      <c r="BC15" s="62">
        <v>2556</v>
      </c>
      <c r="BD15" s="62">
        <f t="shared" ref="BD15:BD16" si="11">N15-BC15-BB15-BA15</f>
        <v>2574</v>
      </c>
      <c r="BE15" s="62"/>
    </row>
    <row r="16" spans="2:57" ht="28.8">
      <c r="B16" s="52" t="s">
        <v>172</v>
      </c>
      <c r="C16" s="11"/>
      <c r="D16" s="58">
        <f>630*31.093/1000</f>
        <v>19.58859</v>
      </c>
      <c r="E16" s="58">
        <v>0</v>
      </c>
      <c r="F16" s="58">
        <v>716</v>
      </c>
      <c r="G16" s="58">
        <v>1062</v>
      </c>
      <c r="H16" s="58">
        <v>8</v>
      </c>
      <c r="I16" s="58">
        <v>821</v>
      </c>
      <c r="J16" s="58">
        <v>783</v>
      </c>
      <c r="K16" s="58">
        <v>899</v>
      </c>
      <c r="L16" s="54"/>
      <c r="M16" s="58">
        <v>783</v>
      </c>
      <c r="N16" s="58">
        <v>899</v>
      </c>
      <c r="P16" s="58">
        <v>0</v>
      </c>
      <c r="Q16" s="58">
        <v>0</v>
      </c>
      <c r="R16" s="58">
        <v>0</v>
      </c>
      <c r="S16" s="58">
        <v>19.58859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716</v>
      </c>
      <c r="AB16" s="58">
        <v>0</v>
      </c>
      <c r="AC16" s="58">
        <v>0</v>
      </c>
      <c r="AD16" s="58">
        <v>28</v>
      </c>
      <c r="AE16" s="58">
        <v>1034</v>
      </c>
      <c r="AF16" s="58">
        <v>0</v>
      </c>
      <c r="AG16" s="58">
        <v>-32</v>
      </c>
      <c r="AH16" s="58">
        <v>121</v>
      </c>
      <c r="AI16" s="58">
        <v>-81</v>
      </c>
      <c r="AJ16" s="58">
        <v>282</v>
      </c>
      <c r="AK16" s="58">
        <v>59</v>
      </c>
      <c r="AL16" s="58">
        <v>359</v>
      </c>
      <c r="AM16" s="58">
        <v>121</v>
      </c>
      <c r="AN16" s="58">
        <v>147</v>
      </c>
      <c r="AO16" s="58">
        <v>148</v>
      </c>
      <c r="AP16" s="58">
        <v>122</v>
      </c>
      <c r="AQ16" s="58">
        <v>366</v>
      </c>
      <c r="AR16" s="58">
        <v>229</v>
      </c>
      <c r="AS16" s="58">
        <v>93</v>
      </c>
      <c r="AT16" s="58">
        <v>106</v>
      </c>
      <c r="AU16" s="58">
        <f t="shared" si="10"/>
        <v>471</v>
      </c>
      <c r="AW16" s="58">
        <v>147</v>
      </c>
      <c r="AX16" s="58">
        <v>148</v>
      </c>
      <c r="AY16" s="58">
        <v>122</v>
      </c>
      <c r="AZ16" s="58">
        <v>366</v>
      </c>
      <c r="BA16" s="58">
        <v>229</v>
      </c>
      <c r="BB16" s="58">
        <v>93</v>
      </c>
      <c r="BC16" s="58">
        <v>106</v>
      </c>
      <c r="BD16" s="58">
        <f t="shared" si="11"/>
        <v>471</v>
      </c>
      <c r="BE16" s="62"/>
    </row>
    <row r="17" spans="2:54">
      <c r="B17" s="1"/>
    </row>
    <row r="18" spans="2:54">
      <c r="B18" s="70"/>
      <c r="D18"/>
      <c r="E18"/>
      <c r="F18"/>
      <c r="P18"/>
    </row>
    <row r="19" spans="2:54">
      <c r="D19"/>
      <c r="E19"/>
      <c r="P19"/>
      <c r="BB19" s="69"/>
    </row>
    <row r="20" spans="2:54">
      <c r="P20"/>
    </row>
    <row r="23" spans="2:54">
      <c r="D23" s="107"/>
      <c r="E23" s="108"/>
      <c r="F23" s="109"/>
      <c r="G23" s="106"/>
    </row>
    <row r="24" spans="2:54">
      <c r="D24" s="107"/>
      <c r="E24" s="108"/>
      <c r="F24" s="109"/>
      <c r="G24" s="106"/>
    </row>
    <row r="25" spans="2:54">
      <c r="D25" s="107"/>
      <c r="E25" s="108"/>
      <c r="F25" s="109"/>
      <c r="G25" s="106"/>
    </row>
    <row r="26" spans="2:54">
      <c r="D26" s="107"/>
      <c r="E26" s="108"/>
      <c r="F26" s="109"/>
      <c r="G26" s="106"/>
    </row>
    <row r="27" spans="2:54">
      <c r="D27" s="107"/>
      <c r="E27" s="108"/>
      <c r="F27" s="109"/>
      <c r="G27" s="106"/>
    </row>
    <row r="28" spans="2:54">
      <c r="D28" s="107"/>
      <c r="E28" s="108"/>
      <c r="F28" s="109"/>
      <c r="G28" s="106"/>
    </row>
    <row r="29" spans="2:54">
      <c r="D29" s="107"/>
      <c r="E29" s="108"/>
      <c r="F29" s="109"/>
      <c r="G29" s="106"/>
    </row>
    <row r="30" spans="2:54">
      <c r="D30" s="107"/>
      <c r="E30" s="108"/>
      <c r="F30" s="109"/>
      <c r="G30" s="106"/>
    </row>
    <row r="31" spans="2:54">
      <c r="D31" s="107"/>
      <c r="E31" s="108"/>
      <c r="F31" s="109"/>
      <c r="G31" s="106"/>
    </row>
    <row r="32" spans="2:54">
      <c r="D32" s="107"/>
      <c r="E32" s="108"/>
      <c r="F32" s="109"/>
      <c r="G32" s="106"/>
    </row>
    <row r="33" spans="4:8">
      <c r="D33" s="107"/>
      <c r="E33" s="108"/>
      <c r="F33" s="109"/>
      <c r="G33" s="106"/>
    </row>
    <row r="34" spans="4:8">
      <c r="D34" s="107"/>
      <c r="E34" s="108"/>
      <c r="F34" s="109"/>
      <c r="G34" s="106"/>
    </row>
    <row r="35" spans="4:8">
      <c r="D35" s="107"/>
      <c r="E35" s="108"/>
      <c r="F35" s="109"/>
      <c r="G35" s="106"/>
    </row>
    <row r="36" spans="4:8">
      <c r="D36" s="107"/>
      <c r="E36" s="108"/>
      <c r="F36" s="109"/>
      <c r="G36" s="106"/>
    </row>
    <row r="37" spans="4:8">
      <c r="D37" s="107"/>
      <c r="E37" s="108"/>
      <c r="F37" s="109"/>
      <c r="G37" s="106"/>
    </row>
    <row r="38" spans="4:8">
      <c r="D38" s="107"/>
      <c r="E38" s="108"/>
      <c r="F38" s="109"/>
      <c r="G38" s="106"/>
    </row>
    <row r="39" spans="4:8" ht="15" thickBot="1">
      <c r="D39" s="107"/>
      <c r="E39" s="110"/>
      <c r="F39" s="109"/>
      <c r="G39" s="106"/>
    </row>
    <row r="40" spans="4:8">
      <c r="D40" s="108"/>
      <c r="E40" s="108"/>
      <c r="F40" s="108"/>
      <c r="G40" s="108"/>
      <c r="H40" s="108"/>
    </row>
    <row r="41" spans="4:8">
      <c r="D41" s="108"/>
      <c r="E41" s="108"/>
      <c r="F41" s="108"/>
      <c r="G41" s="108"/>
      <c r="H41" s="108"/>
    </row>
    <row r="43" spans="4:8">
      <c r="G43" s="56">
        <f>G40-G25</f>
        <v>0</v>
      </c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D24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3" sqref="E3"/>
    </sheetView>
  </sheetViews>
  <sheetFormatPr defaultRowHeight="14.4"/>
  <cols>
    <col min="1" max="1" width="3.33203125" customWidth="1"/>
    <col min="2" max="2" width="52.44140625" customWidth="1"/>
    <col min="3" max="13" width="8.88671875" customWidth="1"/>
    <col min="14" max="14" width="10.88671875" customWidth="1"/>
    <col min="15" max="15" width="32.109375" customWidth="1"/>
    <col min="16" max="52" width="8.88671875" customWidth="1"/>
  </cols>
  <sheetData>
    <row r="2" spans="2:56" ht="34.799999999999997">
      <c r="B2" s="118" t="str">
        <f>Content!$B$17</f>
        <v>EBITDA and Adjusted EBITDA</v>
      </c>
    </row>
    <row r="3" spans="2:56" ht="16.8">
      <c r="B3" s="117" t="s">
        <v>0</v>
      </c>
    </row>
    <row r="4" spans="2:56">
      <c r="B4" s="119"/>
    </row>
    <row r="5" spans="2:56" ht="15" thickBot="1">
      <c r="B5" s="2"/>
    </row>
    <row r="6" spans="2:56" ht="15" thickTop="1">
      <c r="B6" s="121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'Financial Position'!N6</f>
        <v>IFRS 16</v>
      </c>
      <c r="O6" s="13"/>
      <c r="P6" s="4" t="str">
        <f>I6</f>
        <v>IAS 17</v>
      </c>
      <c r="Q6" s="4" t="str">
        <f>P6</f>
        <v>IAS 17</v>
      </c>
      <c r="R6" s="4" t="str">
        <f>Q6</f>
        <v>IAS 17</v>
      </c>
      <c r="S6" s="4" t="str">
        <f t="shared" ref="S6" si="1">R6</f>
        <v>IAS 17</v>
      </c>
      <c r="T6" s="4" t="str">
        <f>H6</f>
        <v>IAS 17</v>
      </c>
      <c r="U6" s="4" t="str">
        <f>F6</f>
        <v>IAS 17</v>
      </c>
      <c r="V6" s="4" t="str">
        <f>U6</f>
        <v>IAS 17</v>
      </c>
      <c r="W6" s="4" t="str">
        <f t="shared" ref="W6:AM6" si="2">V6</f>
        <v>IAS 17</v>
      </c>
      <c r="X6" s="4" t="str">
        <f t="shared" si="2"/>
        <v>IAS 17</v>
      </c>
      <c r="Y6" s="4" t="str">
        <f t="shared" si="2"/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W6" s="4" t="str">
        <f>M6</f>
        <v>IFRS 16</v>
      </c>
      <c r="AX6" s="4" t="str">
        <f t="shared" ref="AX6:AZ6" si="3">AW6</f>
        <v>IFRS 16</v>
      </c>
      <c r="AY6" s="4" t="str">
        <f t="shared" si="3"/>
        <v>IFRS 16</v>
      </c>
      <c r="AZ6" s="4" t="str">
        <f t="shared" si="3"/>
        <v>IFRS 16</v>
      </c>
      <c r="BA6" s="4" t="str">
        <f>AW6</f>
        <v>IFRS 16</v>
      </c>
      <c r="BB6" s="4" t="str">
        <f t="shared" ref="BB6" si="4">BA6</f>
        <v>IFRS 16</v>
      </c>
      <c r="BC6" s="4" t="str">
        <f t="shared" ref="BC6" si="5">BB6</f>
        <v>IFRS 16</v>
      </c>
      <c r="BD6" s="4" t="str">
        <f t="shared" ref="BD6" si="6">BC6</f>
        <v>IFRS 16</v>
      </c>
    </row>
    <row r="7" spans="2:56" ht="15" thickBot="1">
      <c r="B7" s="122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3" t="s">
        <v>35</v>
      </c>
      <c r="Q7" s="3" t="s">
        <v>36</v>
      </c>
      <c r="R7" s="3" t="s">
        <v>37</v>
      </c>
      <c r="S7" s="3" t="s">
        <v>38</v>
      </c>
      <c r="T7" s="3" t="s">
        <v>10</v>
      </c>
      <c r="U7" s="3" t="s">
        <v>11</v>
      </c>
      <c r="V7" s="3" t="s">
        <v>12</v>
      </c>
      <c r="W7" s="3" t="s">
        <v>13</v>
      </c>
      <c r="X7" s="3" t="s">
        <v>14</v>
      </c>
      <c r="Y7" s="3" t="s">
        <v>15</v>
      </c>
      <c r="Z7" s="3" t="s">
        <v>16</v>
      </c>
      <c r="AA7" s="3" t="s">
        <v>17</v>
      </c>
      <c r="AB7" s="3" t="s">
        <v>18</v>
      </c>
      <c r="AC7" s="3" t="s">
        <v>19</v>
      </c>
      <c r="AD7" s="3" t="s">
        <v>20</v>
      </c>
      <c r="AE7" s="3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167</v>
      </c>
      <c r="AS7" s="3" t="s">
        <v>168</v>
      </c>
      <c r="AT7" s="3" t="s">
        <v>169</v>
      </c>
      <c r="AU7" s="3" t="s">
        <v>170</v>
      </c>
      <c r="AW7" s="3" t="s">
        <v>47</v>
      </c>
      <c r="AX7" s="3" t="s">
        <v>48</v>
      </c>
      <c r="AY7" s="3" t="s">
        <v>49</v>
      </c>
      <c r="AZ7" s="3" t="s">
        <v>50</v>
      </c>
      <c r="BA7" s="3" t="s">
        <v>167</v>
      </c>
      <c r="BB7" s="3" t="s">
        <v>168</v>
      </c>
      <c r="BC7" s="3" t="s">
        <v>169</v>
      </c>
      <c r="BD7" s="3" t="s">
        <v>170</v>
      </c>
    </row>
    <row r="8" spans="2:56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W8" s="11"/>
      <c r="AX8" s="11"/>
      <c r="AY8" s="11"/>
      <c r="AZ8" s="11"/>
      <c r="BA8" s="11"/>
      <c r="BB8" s="11"/>
      <c r="BC8" s="11"/>
      <c r="BD8" s="11"/>
    </row>
    <row r="9" spans="2:56">
      <c r="B9" s="18" t="s">
        <v>133</v>
      </c>
      <c r="C9" s="8"/>
      <c r="D9" s="8">
        <f>'Profit or Loss (Q)'!D23</f>
        <v>456.11507567234781</v>
      </c>
      <c r="E9" s="8">
        <f>'Profit or Loss (Q)'!E23</f>
        <v>1152.7428550766556</v>
      </c>
      <c r="F9" s="8">
        <f>'Profit or Loss (Q)'!F23</f>
        <v>2042.8002316301649</v>
      </c>
      <c r="G9" s="8">
        <f>'Profit or Loss (Q)'!G23</f>
        <v>976</v>
      </c>
      <c r="H9" s="8">
        <f>'Profit or Loss (Q)'!H23</f>
        <v>3820</v>
      </c>
      <c r="I9" s="8">
        <f>'Profit or Loss (Q)'!I23</f>
        <v>4844</v>
      </c>
      <c r="J9" s="8">
        <f>'Profit or Loss (Q)'!J23</f>
        <v>6603</v>
      </c>
      <c r="K9" s="8">
        <f>'Profit or Loss (Q)'!K23</f>
        <v>7303</v>
      </c>
      <c r="M9" s="8">
        <f>'Profit or Loss (Q)'!M23</f>
        <v>5694</v>
      </c>
      <c r="N9" s="8">
        <f>'Profit or Loss (Q)'!N23</f>
        <v>6542</v>
      </c>
      <c r="O9" s="10"/>
      <c r="P9" s="8">
        <f>'Profit or Loss (Q)'!P23</f>
        <v>-608.59334409458438</v>
      </c>
      <c r="Q9" s="8">
        <f>'Profit or Loss (Q)'!Q23</f>
        <v>-258.91552208981341</v>
      </c>
      <c r="R9" s="8">
        <f>'Profit or Loss (Q)'!R23</f>
        <v>357.78750183681041</v>
      </c>
      <c r="S9" s="8">
        <f>'Profit or Loss (Q)'!S23</f>
        <v>965.83644001993525</v>
      </c>
      <c r="T9" s="8">
        <f>'Profit or Loss (Q)'!T23</f>
        <v>-595.13995692093374</v>
      </c>
      <c r="U9" s="8">
        <f>'Profit or Loss (Q)'!U23</f>
        <v>24.853674493953918</v>
      </c>
      <c r="V9" s="8">
        <f>'Profit or Loss (Q)'!V23</f>
        <v>608.13931391751987</v>
      </c>
      <c r="W9" s="8">
        <f>'Profit or Loss (Q)'!W23</f>
        <v>1114.8898235861157</v>
      </c>
      <c r="X9" s="8">
        <f>'Profit or Loss (Q)'!X23</f>
        <v>-434.97841897640615</v>
      </c>
      <c r="Y9" s="8">
        <f>'Profit or Loss (Q)'!Y23</f>
        <v>119.53706211952726</v>
      </c>
      <c r="Z9" s="8">
        <f>'Profit or Loss (Q)'!Z23</f>
        <v>928.31923344555003</v>
      </c>
      <c r="AA9" s="8">
        <f>'Profit or Loss (Q)'!AA23</f>
        <v>1429.9223550414938</v>
      </c>
      <c r="AB9" s="8">
        <f>'Profit or Loss (Q)'!AB23</f>
        <v>24.138770316624317</v>
      </c>
      <c r="AC9" s="8">
        <f>'Profit or Loss (Q)'!AC23</f>
        <v>343.86122968337565</v>
      </c>
      <c r="AD9" s="8">
        <f>'Profit or Loss (Q)'!AD23</f>
        <v>289</v>
      </c>
      <c r="AE9" s="8">
        <f>'Profit or Loss (Q)'!AE23</f>
        <v>319</v>
      </c>
      <c r="AF9" s="8">
        <f>'Profit or Loss (Q)'!AF23</f>
        <v>102</v>
      </c>
      <c r="AG9" s="8">
        <f>'Profit or Loss (Q)'!AG23</f>
        <v>525</v>
      </c>
      <c r="AH9" s="8">
        <f>'Profit or Loss (Q)'!AH23</f>
        <v>1058</v>
      </c>
      <c r="AI9" s="8">
        <f>'Profit or Loss (Q)'!AI23</f>
        <v>2135</v>
      </c>
      <c r="AJ9" s="8">
        <f>'Profit or Loss (Q)'!AJ23</f>
        <v>-88.662602691543228</v>
      </c>
      <c r="AK9" s="8">
        <f>'Profit or Loss (Q)'!AK23</f>
        <v>793.66260269154327</v>
      </c>
      <c r="AL9" s="8">
        <f>'Profit or Loss (Q)'!AL23</f>
        <v>1607.9134378384315</v>
      </c>
      <c r="AM9" s="8">
        <f>'Profit or Loss (Q)'!AM23</f>
        <v>2531.0865621615685</v>
      </c>
      <c r="AN9" s="8">
        <f>'Profit or Loss (Q)'!AN23</f>
        <v>335.4052318763429</v>
      </c>
      <c r="AO9" s="8">
        <f>'Profit or Loss (Q)'!AO23</f>
        <v>1573.5947681236571</v>
      </c>
      <c r="AP9" s="8">
        <f>'Profit or Loss (Q)'!AP23</f>
        <v>2126.8063766699947</v>
      </c>
      <c r="AQ9" s="8">
        <f>'Profit or Loss (Q)'!AQ23</f>
        <v>2567.1936233300053</v>
      </c>
      <c r="AR9" s="8">
        <f>'Profit or Loss (Q)'!AR23</f>
        <v>290.73768910781473</v>
      </c>
      <c r="AS9" s="8">
        <f>'Profit or Loss (Q)'!AS23</f>
        <v>1901.7233108921855</v>
      </c>
      <c r="AT9" s="8">
        <f>'Profit or Loss (Q)'!AT23</f>
        <v>2360.5389999999998</v>
      </c>
      <c r="AU9" s="8">
        <f>'Profit or Loss (Q)'!AU23</f>
        <v>2750</v>
      </c>
      <c r="AW9" s="8">
        <f>'Profit or Loss (Q)'!AW23</f>
        <v>232.03228674693389</v>
      </c>
      <c r="AX9" s="8">
        <f>'Profit or Loss (Q)'!AX23</f>
        <v>798.96771325306611</v>
      </c>
      <c r="AY9" s="8">
        <f>'Profit or Loss (Q)'!AY23</f>
        <v>2369</v>
      </c>
      <c r="AZ9" s="8">
        <f>'Profit or Loss (Q)'!AZ23</f>
        <v>2294</v>
      </c>
      <c r="BA9" s="8">
        <f>'Profit or Loss (Q)'!BA23</f>
        <v>-163.69233314787135</v>
      </c>
      <c r="BB9" s="8">
        <f>'Profit or Loss (Q)'!BB23</f>
        <v>2097.6923331478715</v>
      </c>
      <c r="BC9" s="8">
        <f>'Profit or Loss (Q)'!BC23</f>
        <v>2148</v>
      </c>
      <c r="BD9" s="8">
        <f>'Profit or Loss (Q)'!BD23</f>
        <v>2460</v>
      </c>
    </row>
    <row r="10" spans="2:56">
      <c r="B10" s="30" t="s">
        <v>134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W10" s="10"/>
      <c r="AX10" s="10"/>
      <c r="AY10" s="10"/>
      <c r="AZ10" s="10"/>
      <c r="BA10" s="10"/>
      <c r="BB10" s="10"/>
      <c r="BC10" s="10"/>
      <c r="BD10" s="10"/>
    </row>
    <row r="11" spans="2:56">
      <c r="B11" s="26" t="s">
        <v>42</v>
      </c>
      <c r="C11" s="10"/>
      <c r="D11" s="10">
        <f>-'Profit or Loss (Q)'!D17</f>
        <v>-24.939451909999992</v>
      </c>
      <c r="E11" s="10">
        <f>-'Profit or Loss (Q)'!E17</f>
        <v>-11.031759991626998</v>
      </c>
      <c r="F11" s="10">
        <f>-'Profit or Loss (Q)'!F17</f>
        <v>-55.787874609999989</v>
      </c>
      <c r="G11" s="10">
        <f>-'Profit or Loss (Q)'!G17</f>
        <v>-723</v>
      </c>
      <c r="H11" s="10">
        <f>-'Profit or Loss (Q)'!H17</f>
        <v>-186</v>
      </c>
      <c r="I11" s="10">
        <f>-'Profit or Loss (Q)'!I17</f>
        <v>-28</v>
      </c>
      <c r="J11" s="10">
        <f>-'Profit or Loss (Q)'!J17</f>
        <v>-5</v>
      </c>
      <c r="K11" s="10">
        <f>-'Profit or Loss (Q)'!K17</f>
        <v>-5</v>
      </c>
      <c r="M11" s="10">
        <f>-'Profit or Loss (Q)'!M17</f>
        <v>-10</v>
      </c>
      <c r="N11" s="10">
        <f>-'Profit or Loss (Q)'!N17</f>
        <v>-11</v>
      </c>
      <c r="O11" s="10"/>
      <c r="P11" s="10">
        <f>-'Profit or Loss (Q)'!P17</f>
        <v>-16.490877470000001</v>
      </c>
      <c r="Q11" s="10">
        <f>-'Profit or Loss (Q)'!Q17</f>
        <v>-3.1820127700000036</v>
      </c>
      <c r="R11" s="10">
        <f>-'Profit or Loss (Q)'!R17</f>
        <v>-3.0716281699999897</v>
      </c>
      <c r="S11" s="10">
        <f>-'Profit or Loss (Q)'!S17</f>
        <v>-2.1949334999999977</v>
      </c>
      <c r="T11" s="10">
        <f>-'Profit or Loss (Q)'!T17</f>
        <v>-1.800401641920002</v>
      </c>
      <c r="U11" s="10">
        <f>-'Profit or Loss (Q)'!U17</f>
        <v>-1.9050895580799994</v>
      </c>
      <c r="V11" s="10">
        <f>-'Profit or Loss (Q)'!V17</f>
        <v>-5.2875484199999949</v>
      </c>
      <c r="W11" s="10">
        <f>-'Profit or Loss (Q)'!W17</f>
        <v>-2.0387203716270026</v>
      </c>
      <c r="X11" s="10">
        <f>-'Profit or Loss (Q)'!X17</f>
        <v>-3.9910996999999999</v>
      </c>
      <c r="Y11" s="10">
        <f>-'Profit or Loss (Q)'!Y17</f>
        <v>-11.7742317</v>
      </c>
      <c r="Z11" s="10">
        <f>-'Profit or Loss (Q)'!Z17</f>
        <v>-5.3408919900000011</v>
      </c>
      <c r="AA11" s="10">
        <f>-'Profit or Loss (Q)'!AA17</f>
        <v>-34.681651219999992</v>
      </c>
      <c r="AB11" s="10">
        <f>-'Profit or Loss (Q)'!AB17</f>
        <v>-164.83524031309827</v>
      </c>
      <c r="AC11" s="10">
        <f>-'Profit or Loss (Q)'!AC17</f>
        <v>-164.16475968690173</v>
      </c>
      <c r="AD11" s="10">
        <f>-'Profit or Loss (Q)'!AD17</f>
        <v>-206</v>
      </c>
      <c r="AE11" s="10">
        <f>-'Profit or Loss (Q)'!AE17</f>
        <v>-188</v>
      </c>
      <c r="AF11" s="10">
        <f>-'Profit or Loss (Q)'!AF17</f>
        <v>-84</v>
      </c>
      <c r="AG11" s="10">
        <f>-'Profit or Loss (Q)'!AG17</f>
        <v>-33</v>
      </c>
      <c r="AH11" s="10">
        <f>-'Profit or Loss (Q)'!AH17</f>
        <v>-47</v>
      </c>
      <c r="AI11" s="10">
        <f>-'Profit or Loss (Q)'!AI17</f>
        <v>-22</v>
      </c>
      <c r="AJ11" s="10">
        <f>-'Profit or Loss (Q)'!AJ17</f>
        <v>-17.062218930778897</v>
      </c>
      <c r="AK11" s="10">
        <f>-'Profit or Loss (Q)'!AK17</f>
        <v>-4.9377810692211028</v>
      </c>
      <c r="AL11" s="10">
        <f>-'Profit or Loss (Q)'!AL17</f>
        <v>-3.8108646611684591</v>
      </c>
      <c r="AM11" s="10">
        <f>-'Profit or Loss (Q)'!AM17</f>
        <v>-2.1891353388315409</v>
      </c>
      <c r="AN11" s="10">
        <f>-'Profit or Loss (Q)'!AN17</f>
        <v>-1.1885651509619815</v>
      </c>
      <c r="AO11" s="10">
        <f>-'Profit or Loss (Q)'!AO17</f>
        <v>-0.81143484903801855</v>
      </c>
      <c r="AP11" s="10">
        <f>-'Profit or Loss (Q)'!AP17</f>
        <v>-0.41354000651445011</v>
      </c>
      <c r="AQ11" s="10">
        <f>-'Profit or Loss (Q)'!AQ17</f>
        <v>-2.5864599934855499</v>
      </c>
      <c r="AR11" s="10">
        <f>-'Profit or Loss (Q)'!AR17</f>
        <v>-2.2729876545043628</v>
      </c>
      <c r="AS11" s="10">
        <f>-'Profit or Loss (Q)'!AS17</f>
        <v>-0.80701234549563727</v>
      </c>
      <c r="AT11" s="10">
        <f>-'Profit or Loss (Q)'!AT17</f>
        <v>-0.91999999999999993</v>
      </c>
      <c r="AU11" s="10">
        <f>-'Profit or Loss (Q)'!AU17</f>
        <v>-1</v>
      </c>
      <c r="AW11" s="10">
        <f>-'Profit or Loss (Q)'!AW17</f>
        <v>-1.1885651509619815</v>
      </c>
      <c r="AX11" s="10">
        <f>-'Profit or Loss (Q)'!AX17</f>
        <v>-0.81143484903801855</v>
      </c>
      <c r="AY11" s="10">
        <f>-'Profit or Loss (Q)'!AY17</f>
        <v>-4</v>
      </c>
      <c r="AZ11" s="10">
        <f>-'Profit or Loss (Q)'!AZ17</f>
        <v>-4</v>
      </c>
      <c r="BA11" s="10">
        <f>-'Profit or Loss (Q)'!BA17</f>
        <v>-3.8811536366021375</v>
      </c>
      <c r="BB11" s="10">
        <f>-'Profit or Loss (Q)'!BB17</f>
        <v>-2.1188463633978625</v>
      </c>
      <c r="BC11" s="10">
        <f>-'Profit or Loss (Q)'!BC17</f>
        <v>-2</v>
      </c>
      <c r="BD11" s="10">
        <f>-'Profit or Loss (Q)'!BD17</f>
        <v>-3</v>
      </c>
    </row>
    <row r="12" spans="2:56">
      <c r="B12" s="26" t="s">
        <v>43</v>
      </c>
      <c r="C12" s="10"/>
      <c r="D12" s="10">
        <f>-'Profit or Loss (Q)'!D18</f>
        <v>408.60522705000005</v>
      </c>
      <c r="E12" s="10">
        <f>-'Profit or Loss (Q)'!E18</f>
        <v>517.81757806000007</v>
      </c>
      <c r="F12" s="10">
        <f>-'Profit or Loss (Q)'!F18</f>
        <v>917.72465021179858</v>
      </c>
      <c r="G12" s="10">
        <f>-'Profit or Loss (Q)'!G18</f>
        <v>2416</v>
      </c>
      <c r="H12" s="10">
        <f>-'Profit or Loss (Q)'!H18</f>
        <v>1938</v>
      </c>
      <c r="I12" s="10">
        <f>-'Profit or Loss (Q)'!I18</f>
        <v>1866</v>
      </c>
      <c r="J12" s="10">
        <f>-'Profit or Loss (Q)'!J18</f>
        <v>1824</v>
      </c>
      <c r="K12" s="10">
        <f>-'Profit or Loss (Q)'!K18</f>
        <v>2305</v>
      </c>
      <c r="M12" s="10">
        <f>-'Profit or Loss (Q)'!M18</f>
        <v>4427</v>
      </c>
      <c r="N12" s="10">
        <f>-'Profit or Loss (Q)'!N18</f>
        <v>4878</v>
      </c>
      <c r="O12" s="10"/>
      <c r="P12" s="10">
        <f>-'Profit or Loss (Q)'!P18</f>
        <v>93.03570843</v>
      </c>
      <c r="Q12" s="10">
        <f>-'Profit or Loss (Q)'!Q18</f>
        <v>90.668352930000026</v>
      </c>
      <c r="R12" s="10">
        <f>-'Profit or Loss (Q)'!R18</f>
        <v>110.83073099999996</v>
      </c>
      <c r="S12" s="10">
        <f>-'Profit or Loss (Q)'!S18</f>
        <v>114.07043469000007</v>
      </c>
      <c r="T12" s="10">
        <f>-'Profit or Loss (Q)'!T18</f>
        <v>82.177500339999995</v>
      </c>
      <c r="U12" s="10">
        <f>-'Profit or Loss (Q)'!U18</f>
        <v>78.883856470000012</v>
      </c>
      <c r="V12" s="10">
        <f>-'Profit or Loss (Q)'!V18</f>
        <v>165.65096980999999</v>
      </c>
      <c r="W12" s="10">
        <f>-'Profit or Loss (Q)'!W18</f>
        <v>191.10525144000007</v>
      </c>
      <c r="X12" s="10">
        <f>-'Profit or Loss (Q)'!X18</f>
        <v>171.73148089999998</v>
      </c>
      <c r="Y12" s="10">
        <f>-'Profit or Loss (Q)'!Y18</f>
        <v>220.93386722000011</v>
      </c>
      <c r="Z12" s="10">
        <f>-'Profit or Loss (Q)'!Z18</f>
        <v>240.9406643599998</v>
      </c>
      <c r="AA12" s="10">
        <f>-'Profit or Loss (Q)'!AA18</f>
        <v>284.11863773179869</v>
      </c>
      <c r="AB12" s="10">
        <f>-'Profit or Loss (Q)'!AB18</f>
        <v>330.14104566000003</v>
      </c>
      <c r="AC12" s="10">
        <f>-'Profit or Loss (Q)'!AC18</f>
        <v>344.85895433999997</v>
      </c>
      <c r="AD12" s="10">
        <f>-'Profit or Loss (Q)'!AD18</f>
        <v>576</v>
      </c>
      <c r="AE12" s="10">
        <f>-'Profit or Loss (Q)'!AE18</f>
        <v>1165</v>
      </c>
      <c r="AF12" s="10">
        <f>-'Profit or Loss (Q)'!AF18</f>
        <v>508</v>
      </c>
      <c r="AG12" s="10">
        <f>-'Profit or Loss (Q)'!AG18</f>
        <v>457</v>
      </c>
      <c r="AH12" s="10">
        <f>-'Profit or Loss (Q)'!AH18</f>
        <v>453</v>
      </c>
      <c r="AI12" s="10">
        <f>-'Profit or Loss (Q)'!AI18</f>
        <v>520</v>
      </c>
      <c r="AJ12" s="10">
        <f>-'Profit or Loss (Q)'!AJ18</f>
        <v>447.52734220999997</v>
      </c>
      <c r="AK12" s="10">
        <f>-'Profit or Loss (Q)'!AK18</f>
        <v>512.47265779000008</v>
      </c>
      <c r="AL12" s="10">
        <f>-'Profit or Loss (Q)'!AL18</f>
        <v>467.32783879999965</v>
      </c>
      <c r="AM12" s="10">
        <f>-'Profit or Loss (Q)'!AM18</f>
        <v>438.67216120000035</v>
      </c>
      <c r="AN12" s="10">
        <f>-'Profit or Loss (Q)'!AN18</f>
        <v>388.84958446000002</v>
      </c>
      <c r="AO12" s="10">
        <f>-'Profit or Loss (Q)'!AO18</f>
        <v>457.15041553999998</v>
      </c>
      <c r="AP12" s="10">
        <f>-'Profit or Loss (Q)'!AP18</f>
        <v>457.44738411000026</v>
      </c>
      <c r="AQ12" s="10">
        <f>-'Profit or Loss (Q)'!AQ18</f>
        <v>520.55261588999974</v>
      </c>
      <c r="AR12" s="10">
        <f>-'Profit or Loss (Q)'!AR18</f>
        <v>557.79478182000003</v>
      </c>
      <c r="AS12" s="10">
        <f>-'Profit or Loss (Q)'!AS18</f>
        <v>606.14221817999987</v>
      </c>
      <c r="AT12" s="10">
        <f>-'Profit or Loss (Q)'!AT18</f>
        <v>621.0630000000001</v>
      </c>
      <c r="AU12" s="10">
        <f>-'Profit or Loss (Q)'!AU18</f>
        <v>520</v>
      </c>
      <c r="AW12" s="10">
        <f>-'Profit or Loss (Q)'!AW18</f>
        <v>810.99100333472995</v>
      </c>
      <c r="AX12" s="10">
        <f>-'Profit or Loss (Q)'!AX18</f>
        <v>1526.0089966652699</v>
      </c>
      <c r="AY12" s="10">
        <f>-'Profit or Loss (Q)'!AY18</f>
        <v>750.00000000000011</v>
      </c>
      <c r="AZ12" s="10">
        <f>-'Profit or Loss (Q)'!AZ18</f>
        <v>1340</v>
      </c>
      <c r="BA12" s="10">
        <f>-'Profit or Loss (Q)'!BA18</f>
        <v>1566.1949486145513</v>
      </c>
      <c r="BB12" s="10">
        <f>-'Profit or Loss (Q)'!BB18</f>
        <v>855.80505138544868</v>
      </c>
      <c r="BC12" s="10">
        <f>-'Profit or Loss (Q)'!BC18</f>
        <v>1161</v>
      </c>
      <c r="BD12" s="10">
        <f>-'Profit or Loss (Q)'!BD18</f>
        <v>1295</v>
      </c>
    </row>
    <row r="13" spans="2:56">
      <c r="B13" s="26" t="s">
        <v>135</v>
      </c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M13" s="10">
        <v>0</v>
      </c>
      <c r="N13" s="10">
        <v>0</v>
      </c>
      <c r="O13" s="10"/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</row>
    <row r="14" spans="2:56">
      <c r="B14" s="26" t="s">
        <v>136</v>
      </c>
      <c r="C14" s="10"/>
      <c r="D14" s="10">
        <f>-'Profit or Loss (Q)'!D19</f>
        <v>-27.136693634030543</v>
      </c>
      <c r="E14" s="10">
        <f>-'Profit or Loss (Q)'!E19</f>
        <v>58.409574546757092</v>
      </c>
      <c r="F14" s="10">
        <f>-'Profit or Loss (Q)'!F19</f>
        <v>581.78427963152319</v>
      </c>
      <c r="G14" s="10">
        <f>-'Profit or Loss (Q)'!G19</f>
        <v>921</v>
      </c>
      <c r="H14" s="10">
        <f>-'Profit or Loss (Q)'!H19</f>
        <v>-33</v>
      </c>
      <c r="I14" s="10">
        <f>-'Profit or Loss (Q)'!I19</f>
        <v>306</v>
      </c>
      <c r="J14" s="10">
        <f>-'Profit or Loss (Q)'!J19</f>
        <v>-106</v>
      </c>
      <c r="K14" s="10">
        <f>-'Profit or Loss (Q)'!K19</f>
        <v>124</v>
      </c>
      <c r="M14" s="10">
        <f>-'Profit or Loss (Q)'!M19</f>
        <v>-106</v>
      </c>
      <c r="N14" s="10">
        <f>-'Profit or Loss (Q)'!N19</f>
        <v>124</v>
      </c>
      <c r="O14" s="10"/>
      <c r="P14" s="10">
        <f>-'Profit or Loss (Q)'!P19</f>
        <v>-40.11893975902624</v>
      </c>
      <c r="Q14" s="10">
        <f>-'Profit or Loss (Q)'!Q19</f>
        <v>45.05158563945988</v>
      </c>
      <c r="R14" s="10">
        <f>-'Profit or Loss (Q)'!R19</f>
        <v>-41.409439482385388</v>
      </c>
      <c r="S14" s="10">
        <f>-'Profit or Loss (Q)'!S19</f>
        <v>9.3400999679212049</v>
      </c>
      <c r="T14" s="10">
        <f>-'Profit or Loss (Q)'!T19</f>
        <v>5.7830932364966126</v>
      </c>
      <c r="U14" s="10">
        <f>-'Profit or Loss (Q)'!U19</f>
        <v>37.436448828809631</v>
      </c>
      <c r="V14" s="10">
        <f>-'Profit or Loss (Q)'!V19</f>
        <v>-2.3482948931473402</v>
      </c>
      <c r="W14" s="10">
        <f>-'Profit or Loss (Q)'!W19</f>
        <v>17.53832737459819</v>
      </c>
      <c r="X14" s="10">
        <f>-'Profit or Loss (Q)'!X19</f>
        <v>214.8688959031918</v>
      </c>
      <c r="Y14" s="10">
        <f>-'Profit or Loss (Q)'!Y19</f>
        <v>151.61707153206561</v>
      </c>
      <c r="Z14" s="10">
        <f>-'Profit or Loss (Q)'!Z19</f>
        <v>-7.651418650351161</v>
      </c>
      <c r="AA14" s="10">
        <f>-'Profit or Loss (Q)'!AA19</f>
        <v>222.94973084661694</v>
      </c>
      <c r="AB14" s="10">
        <f>-'Profit or Loss (Q)'!AB19</f>
        <v>225.21228805001266</v>
      </c>
      <c r="AC14" s="10">
        <f>-'Profit or Loss (Q)'!AC19</f>
        <v>-173.21228805001266</v>
      </c>
      <c r="AD14" s="10">
        <f>-'Profit or Loss (Q)'!AD19</f>
        <v>543</v>
      </c>
      <c r="AE14" s="10">
        <f>-'Profit or Loss (Q)'!AE19</f>
        <v>326</v>
      </c>
      <c r="AF14" s="10">
        <f>-'Profit or Loss (Q)'!AF19</f>
        <v>-31</v>
      </c>
      <c r="AG14" s="10">
        <f>-'Profit or Loss (Q)'!AG19</f>
        <v>-13</v>
      </c>
      <c r="AH14" s="10">
        <f>-'Profit or Loss (Q)'!AH19</f>
        <v>54</v>
      </c>
      <c r="AI14" s="10">
        <f>-'Profit or Loss (Q)'!AI19</f>
        <v>-43</v>
      </c>
      <c r="AJ14" s="10">
        <f>-'Profit or Loss (Q)'!AJ19</f>
        <v>19.90160616379935</v>
      </c>
      <c r="AK14" s="10">
        <f>-'Profit or Loss (Q)'!AK19</f>
        <v>100.09839383620064</v>
      </c>
      <c r="AL14" s="10">
        <f>-'Profit or Loss (Q)'!AL19</f>
        <v>96.969276976482263</v>
      </c>
      <c r="AM14" s="10">
        <f>-'Profit or Loss (Q)'!AM19</f>
        <v>89.030723023517737</v>
      </c>
      <c r="AN14" s="10">
        <f>-'Profit or Loss (Q)'!AN19</f>
        <v>-13.444672790728145</v>
      </c>
      <c r="AO14" s="10">
        <f>-'Profit or Loss (Q)'!AO19</f>
        <v>-129.55532720927187</v>
      </c>
      <c r="AP14" s="10">
        <f>-'Profit or Loss (Q)'!AP19</f>
        <v>-32.33291060091625</v>
      </c>
      <c r="AQ14" s="10">
        <f>-'Profit or Loss (Q)'!AQ19</f>
        <v>69.33291060091625</v>
      </c>
      <c r="AR14" s="10">
        <f>-'Profit or Loss (Q)'!AR19</f>
        <v>182.21056984410438</v>
      </c>
      <c r="AS14" s="10">
        <f>-'Profit or Loss (Q)'!AS19</f>
        <v>103.8214301558956</v>
      </c>
      <c r="AT14" s="10">
        <f>-'Profit or Loss (Q)'!AT19</f>
        <v>-92.031999999999982</v>
      </c>
      <c r="AU14" s="10">
        <f>-'Profit or Loss (Q)'!AU19</f>
        <v>-70</v>
      </c>
      <c r="AW14" s="10">
        <f>-'Profit or Loss (Q)'!AW19</f>
        <v>-13.444672790728145</v>
      </c>
      <c r="AX14" s="10">
        <f>-'Profit or Loss (Q)'!AX19</f>
        <v>-129.55532720927187</v>
      </c>
      <c r="AY14" s="10">
        <f>-'Profit or Loss (Q)'!AY19</f>
        <v>-31.999999999999989</v>
      </c>
      <c r="AZ14" s="10">
        <f>-'Profit or Loss (Q)'!AZ19</f>
        <v>69</v>
      </c>
      <c r="BA14" s="10">
        <f>-'Profit or Loss (Q)'!BA19</f>
        <v>182.21056984410438</v>
      </c>
      <c r="BB14" s="10">
        <f>-'Profit or Loss (Q)'!BB19</f>
        <v>103.78943015589562</v>
      </c>
      <c r="BC14" s="10">
        <f>-'Profit or Loss (Q)'!BC19</f>
        <v>-92</v>
      </c>
      <c r="BD14" s="10">
        <f>-'Profit or Loss (Q)'!BD19</f>
        <v>-70</v>
      </c>
    </row>
    <row r="15" spans="2:56">
      <c r="B15" s="26" t="s">
        <v>34</v>
      </c>
      <c r="C15" s="10"/>
      <c r="D15" s="10">
        <f>-'Profit or Loss (Q)'!D22</f>
        <v>289.30648228117826</v>
      </c>
      <c r="E15" s="10">
        <f>-'Profit or Loss (Q)'!E22</f>
        <v>419.1648171301328</v>
      </c>
      <c r="F15" s="10">
        <f>-'Profit or Loss (Q)'!F22</f>
        <v>683.7437882399114</v>
      </c>
      <c r="G15" s="10">
        <f>-'Profit or Loss (Q)'!G22</f>
        <v>578</v>
      </c>
      <c r="H15" s="10">
        <f>-'Profit or Loss (Q)'!H22</f>
        <v>1065</v>
      </c>
      <c r="I15" s="10">
        <f>-'Profit or Loss (Q)'!I22</f>
        <v>1036</v>
      </c>
      <c r="J15" s="10">
        <f>-'Profit or Loss (Q)'!J22</f>
        <v>1454</v>
      </c>
      <c r="K15" s="10">
        <f>-'Profit or Loss (Q)'!K22</f>
        <v>1550</v>
      </c>
      <c r="M15" s="10">
        <f>-'Profit or Loss (Q)'!M22</f>
        <v>1227</v>
      </c>
      <c r="N15" s="10">
        <f>-'Profit or Loss (Q)'!N22</f>
        <v>1360</v>
      </c>
      <c r="O15" s="10"/>
      <c r="P15" s="10">
        <f>-'Profit or Loss (Q)'!P22</f>
        <v>-12.692224676350477</v>
      </c>
      <c r="Q15" s="10">
        <f>-'Profit or Loss (Q)'!Q22</f>
        <v>-47.031671960176716</v>
      </c>
      <c r="R15" s="10">
        <f>-'Profit or Loss (Q)'!R22</f>
        <v>49.81786619516113</v>
      </c>
      <c r="S15" s="10">
        <f>-'Profit or Loss (Q)'!S22</f>
        <v>299.21251272254432</v>
      </c>
      <c r="T15" s="10">
        <f>-'Profit or Loss (Q)'!T22</f>
        <v>-101.32979170073587</v>
      </c>
      <c r="U15" s="10">
        <f>-'Profit or Loss (Q)'!U22</f>
        <v>5.8051116168703629</v>
      </c>
      <c r="V15" s="10">
        <f>-'Profit or Loss (Q)'!V22</f>
        <v>176.52565291150216</v>
      </c>
      <c r="W15" s="10">
        <f>-'Profit or Loss (Q)'!W22</f>
        <v>338.16384430249616</v>
      </c>
      <c r="X15" s="10">
        <f>-'Profit or Loss (Q)'!X22</f>
        <v>-57.231906320618059</v>
      </c>
      <c r="Y15" s="10">
        <f>-'Profit or Loss (Q)'!Y22</f>
        <v>-22.890904585765988</v>
      </c>
      <c r="Z15" s="10">
        <f>-'Profit or Loss (Q)'!Z22</f>
        <v>224.96715848778825</v>
      </c>
      <c r="AA15" s="10">
        <f>-'Profit or Loss (Q)'!AA22</f>
        <v>538.89944065850716</v>
      </c>
      <c r="AB15" s="10">
        <f>-'Profit or Loss (Q)'!AB22</f>
        <v>91.962979060393508</v>
      </c>
      <c r="AC15" s="10">
        <f>-'Profit or Loss (Q)'!AC22</f>
        <v>49.037020939606492</v>
      </c>
      <c r="AD15" s="10">
        <f>-'Profit or Loss (Q)'!AD22</f>
        <v>193</v>
      </c>
      <c r="AE15" s="10">
        <f>-'Profit or Loss (Q)'!AE22</f>
        <v>244</v>
      </c>
      <c r="AF15" s="10">
        <f>-'Profit or Loss (Q)'!AF22</f>
        <v>-60</v>
      </c>
      <c r="AG15" s="10">
        <f>-'Profit or Loss (Q)'!AG22</f>
        <v>269</v>
      </c>
      <c r="AH15" s="10">
        <f>-'Profit or Loss (Q)'!AH22</f>
        <v>289</v>
      </c>
      <c r="AI15" s="10">
        <f>-'Profit or Loss (Q)'!AI22</f>
        <v>567</v>
      </c>
      <c r="AJ15" s="10">
        <f>-'Profit or Loss (Q)'!AJ22</f>
        <v>38.67766957603699</v>
      </c>
      <c r="AK15" s="10">
        <f>-'Profit or Loss (Q)'!AK22</f>
        <v>311.32233042396302</v>
      </c>
      <c r="AL15" s="10">
        <f>-'Profit or Loss (Q)'!AL22</f>
        <v>60.267533570418834</v>
      </c>
      <c r="AM15" s="10">
        <f>-'Profit or Loss (Q)'!AM22</f>
        <v>625.73246642958111</v>
      </c>
      <c r="AN15" s="10">
        <f>-'Profit or Loss (Q)'!AN22</f>
        <v>76.27196299641848</v>
      </c>
      <c r="AO15" s="10">
        <f>-'Profit or Loss (Q)'!AO22</f>
        <v>412.72803700358151</v>
      </c>
      <c r="AP15" s="10">
        <f>-'Profit or Loss (Q)'!AP22</f>
        <v>387.48668072526254</v>
      </c>
      <c r="AQ15" s="10">
        <f>-'Profit or Loss (Q)'!AQ22</f>
        <v>577.51331927473746</v>
      </c>
      <c r="AR15" s="10">
        <f>-'Profit or Loss (Q)'!AR22</f>
        <v>25.557464121966511</v>
      </c>
      <c r="AS15" s="10">
        <f>-'Profit or Loss (Q)'!AS22</f>
        <v>122.44253587803348</v>
      </c>
      <c r="AT15" s="10">
        <f>-'Profit or Loss (Q)'!AT22</f>
        <v>525</v>
      </c>
      <c r="AU15" s="10">
        <f>-'Profit or Loss (Q)'!AU22</f>
        <v>877</v>
      </c>
      <c r="AW15" s="10">
        <f>-'Profit or Loss (Q)'!AW22</f>
        <v>50.428726714066272</v>
      </c>
      <c r="AX15" s="10">
        <f>-'Profit or Loss (Q)'!AX22</f>
        <v>219.57127328593373</v>
      </c>
      <c r="AY15" s="10">
        <f>-'Profit or Loss (Q)'!AY22</f>
        <v>448</v>
      </c>
      <c r="AZ15" s="10">
        <f>-'Profit or Loss (Q)'!AZ22</f>
        <v>508.99999999999994</v>
      </c>
      <c r="BA15" s="10">
        <f>-'Profit or Loss (Q)'!BA22</f>
        <v>-88.050041441955074</v>
      </c>
      <c r="BB15" s="10">
        <f>-'Profit or Loss (Q)'!BB22</f>
        <v>172.05004144195507</v>
      </c>
      <c r="BC15" s="10">
        <f>-'Profit or Loss (Q)'!BC22</f>
        <v>471</v>
      </c>
      <c r="BD15" s="10">
        <f>-'Profit or Loss (Q)'!BD22</f>
        <v>805</v>
      </c>
    </row>
    <row r="16" spans="2:56">
      <c r="B16" s="29" t="s">
        <v>137</v>
      </c>
      <c r="C16" s="11"/>
      <c r="D16" s="11">
        <f>'SG&amp;A(Q)'!D15</f>
        <v>580.35084499999994</v>
      </c>
      <c r="E16" s="11">
        <f>'SG&amp;A(Q)'!E15</f>
        <v>634.14049152149596</v>
      </c>
      <c r="F16" s="11">
        <f>'SG&amp;A(Q)'!F15</f>
        <v>739.69301955681601</v>
      </c>
      <c r="G16" s="11">
        <f>'SG&amp;A(Q)'!G15</f>
        <v>954</v>
      </c>
      <c r="H16" s="11">
        <f>'SG&amp;A(Q)'!H15</f>
        <v>1591</v>
      </c>
      <c r="I16" s="11">
        <f>'SG&amp;A(Q)'!I15</f>
        <v>1818</v>
      </c>
      <c r="J16" s="11">
        <f>'SG&amp;A(Q)'!J15</f>
        <v>2113</v>
      </c>
      <c r="K16" s="11">
        <f>'SG&amp;A(Q)'!K15</f>
        <v>2549</v>
      </c>
      <c r="M16" s="11">
        <f>'SG&amp;A(Q)'!M15</f>
        <v>9100</v>
      </c>
      <c r="N16" s="11">
        <f>'SG&amp;A(Q)'!N15</f>
        <v>10005</v>
      </c>
      <c r="O16" s="10"/>
      <c r="P16" s="11">
        <f>'SG&amp;A(Q)'!P15</f>
        <v>135.60138252425901</v>
      </c>
      <c r="Q16" s="11">
        <f>'SG&amp;A(Q)'!Q15</f>
        <v>139.78555000290902</v>
      </c>
      <c r="R16" s="11">
        <f>'SG&amp;A(Q)'!R15</f>
        <v>150.04314935559484</v>
      </c>
      <c r="S16" s="11">
        <f>'SG&amp;A(Q)'!S15</f>
        <v>154.92076311723707</v>
      </c>
      <c r="T16" s="11">
        <f>'SG&amp;A(Q)'!T15</f>
        <v>150.14974985878635</v>
      </c>
      <c r="U16" s="11">
        <f>'SG&amp;A(Q)'!U15</f>
        <v>155.74278831780296</v>
      </c>
      <c r="V16" s="11">
        <f>'SG&amp;A(Q)'!V15</f>
        <v>161.60094667678266</v>
      </c>
      <c r="W16" s="11">
        <f>'SG&amp;A(Q)'!W15</f>
        <v>166.64700666812399</v>
      </c>
      <c r="X16" s="11">
        <f>'SG&amp;A(Q)'!X15</f>
        <v>176.0837953802108</v>
      </c>
      <c r="Y16" s="11">
        <f>'SG&amp;A(Q)'!Y15</f>
        <v>175.19213576165856</v>
      </c>
      <c r="Z16" s="11">
        <f>'SG&amp;A(Q)'!Z15</f>
        <v>182.564611016708</v>
      </c>
      <c r="AA16" s="11">
        <f>'SG&amp;A(Q)'!AA15</f>
        <v>205.85247739823865</v>
      </c>
      <c r="AB16" s="11">
        <f>'SG&amp;A(Q)'!AB15</f>
        <v>182</v>
      </c>
      <c r="AC16" s="11">
        <f>'SG&amp;A(Q)'!AC15</f>
        <v>228</v>
      </c>
      <c r="AD16" s="11">
        <f>'SG&amp;A(Q)'!AD15</f>
        <v>228</v>
      </c>
      <c r="AE16" s="11">
        <f>'SG&amp;A(Q)'!AE15</f>
        <v>316</v>
      </c>
      <c r="AF16" s="11">
        <f>'SG&amp;A(Q)'!AF15</f>
        <v>370.32950611365362</v>
      </c>
      <c r="AG16" s="11">
        <f>'SG&amp;A(Q)'!AG15</f>
        <v>400.58510527412233</v>
      </c>
      <c r="AH16" s="11">
        <f>'SG&amp;A(Q)'!AH15</f>
        <v>405.08538861222405</v>
      </c>
      <c r="AI16" s="11">
        <f>'SG&amp;A(Q)'!AI15</f>
        <v>415</v>
      </c>
      <c r="AJ16" s="11">
        <f>'SG&amp;A(Q)'!AJ15</f>
        <v>426.39253493706138</v>
      </c>
      <c r="AK16" s="11">
        <f>'SG&amp;A(Q)'!AK15</f>
        <v>447.60746506293862</v>
      </c>
      <c r="AL16" s="11">
        <f>'SG&amp;A(Q)'!AL15</f>
        <v>456.97031303953463</v>
      </c>
      <c r="AM16" s="11">
        <f>'SG&amp;A(Q)'!AM15</f>
        <v>487.02968696046537</v>
      </c>
      <c r="AN16" s="11">
        <f>'SG&amp;A(Q)'!AN15</f>
        <v>508.44241790857899</v>
      </c>
      <c r="AO16" s="11">
        <f>'SG&amp;A(Q)'!AO15</f>
        <v>520.37755170657101</v>
      </c>
      <c r="AP16" s="11">
        <f>'SG&amp;A(Q)'!AP15</f>
        <v>547.65189973043539</v>
      </c>
      <c r="AQ16" s="11">
        <f>'SG&amp;A(Q)'!AQ15</f>
        <v>536.52813065441455</v>
      </c>
      <c r="AR16" s="11">
        <f>'SG&amp;A(Q)'!AR15</f>
        <v>592.21089179800549</v>
      </c>
      <c r="AS16" s="11">
        <f>'SG&amp;A(Q)'!AS15</f>
        <v>633.25810820199456</v>
      </c>
      <c r="AT16" s="11">
        <f>'SG&amp;A(Q)'!AT15</f>
        <v>661</v>
      </c>
      <c r="AU16" s="11">
        <f>'SG&amp;A(Q)'!AU15</f>
        <v>662.53099999999984</v>
      </c>
      <c r="AW16" s="11">
        <f>'SG&amp;A(Q)'!AW15</f>
        <v>2262.4308371083425</v>
      </c>
      <c r="AX16" s="11">
        <f>'SG&amp;A(Q)'!AX15</f>
        <v>2432.5691628916575</v>
      </c>
      <c r="AY16" s="11">
        <f>'SG&amp;A(Q)'!AY15</f>
        <v>2156</v>
      </c>
      <c r="AZ16" s="11">
        <f>'SG&amp;A(Q)'!AZ15</f>
        <v>2249</v>
      </c>
      <c r="BA16" s="11">
        <f>'SG&amp;A(Q)'!BA15</f>
        <v>2444</v>
      </c>
      <c r="BB16" s="11">
        <f>'SG&amp;A(Q)'!BB15</f>
        <v>2431</v>
      </c>
      <c r="BC16" s="11">
        <f>'SG&amp;A(Q)'!BC15</f>
        <v>2556</v>
      </c>
      <c r="BD16" s="11">
        <f>'SG&amp;A(Q)'!BD15</f>
        <v>2574</v>
      </c>
    </row>
    <row r="17" spans="2:56">
      <c r="B17" s="18" t="s">
        <v>5</v>
      </c>
      <c r="C17" s="8"/>
      <c r="D17" s="8">
        <f t="shared" ref="D17:I17" si="8">SUM(D11:D16)+D9</f>
        <v>1682.3014844594954</v>
      </c>
      <c r="E17" s="8">
        <f t="shared" si="8"/>
        <v>2771.2435563434146</v>
      </c>
      <c r="F17" s="8">
        <f t="shared" si="8"/>
        <v>4909.9580946602146</v>
      </c>
      <c r="G17" s="8">
        <f t="shared" si="8"/>
        <v>5122</v>
      </c>
      <c r="H17" s="8">
        <f t="shared" si="8"/>
        <v>8195</v>
      </c>
      <c r="I17" s="8">
        <f t="shared" si="8"/>
        <v>9842</v>
      </c>
      <c r="J17" s="8">
        <f>SUM(J11:J16)+J9</f>
        <v>11883</v>
      </c>
      <c r="K17" s="8">
        <f>SUM(K11:K16)+K9</f>
        <v>13826</v>
      </c>
      <c r="M17" s="8">
        <f t="shared" ref="M17:N17" si="9">SUM(M11:M16)+M9</f>
        <v>20332</v>
      </c>
      <c r="N17" s="8">
        <f t="shared" si="9"/>
        <v>22898</v>
      </c>
      <c r="O17" s="10"/>
      <c r="P17" s="8">
        <f t="shared" ref="P17" si="10">SUM(P11:P16)+P9</f>
        <v>-449.25829504570208</v>
      </c>
      <c r="Q17" s="8">
        <f t="shared" ref="Q17" si="11">SUM(Q11:Q16)+Q9</f>
        <v>-33.623718247621184</v>
      </c>
      <c r="R17" s="8">
        <f t="shared" ref="R17" si="12">SUM(R11:R16)+R9</f>
        <v>623.99818073518099</v>
      </c>
      <c r="S17" s="8">
        <f t="shared" ref="S17" si="13">SUM(S11:S16)+S9</f>
        <v>1541.185317017638</v>
      </c>
      <c r="T17" s="8">
        <f t="shared" ref="T17" si="14">SUM(T11:T16)+T9</f>
        <v>-460.15980682830667</v>
      </c>
      <c r="U17" s="8">
        <f t="shared" ref="U17" si="15">SUM(U11:U16)+U9</f>
        <v>300.81679016935686</v>
      </c>
      <c r="V17" s="8">
        <f t="shared" ref="V17" si="16">SUM(V11:V16)+V9</f>
        <v>1104.2810400026574</v>
      </c>
      <c r="W17" s="8">
        <f t="shared" ref="W17" si="17">SUM(W11:W16)+W9</f>
        <v>1826.3055329997071</v>
      </c>
      <c r="X17" s="8">
        <f t="shared" ref="X17" si="18">SUM(X11:X16)+X9</f>
        <v>66.482747186378333</v>
      </c>
      <c r="Y17" s="8">
        <f t="shared" ref="Y17" si="19">SUM(Y11:Y16)+Y9</f>
        <v>632.61500034748553</v>
      </c>
      <c r="Z17" s="8">
        <f t="shared" ref="Z17" si="20">SUM(Z11:Z16)+Z9</f>
        <v>1563.799356669695</v>
      </c>
      <c r="AA17" s="8">
        <f t="shared" ref="AA17" si="21">SUM(AA11:AA16)+AA9</f>
        <v>2647.0609904566554</v>
      </c>
      <c r="AB17" s="8">
        <f t="shared" ref="AB17" si="22">SUM(AB11:AB16)+AB9</f>
        <v>688.61984277393231</v>
      </c>
      <c r="AC17" s="8">
        <f t="shared" ref="AC17" si="23">SUM(AC11:AC16)+AC9</f>
        <v>628.38015722606769</v>
      </c>
      <c r="AD17" s="8">
        <f t="shared" ref="AD17" si="24">SUM(AD11:AD16)+AD9</f>
        <v>1623</v>
      </c>
      <c r="AE17" s="8">
        <f t="shared" ref="AE17" si="25">SUM(AE11:AE16)+AE9</f>
        <v>2182</v>
      </c>
      <c r="AF17" s="8">
        <f t="shared" ref="AF17" si="26">SUM(AF11:AF16)+AF9</f>
        <v>805.32950611365368</v>
      </c>
      <c r="AG17" s="8">
        <f t="shared" ref="AG17" si="27">SUM(AG11:AG16)+AG9</f>
        <v>1605.5851052741223</v>
      </c>
      <c r="AH17" s="8">
        <f t="shared" ref="AH17" si="28">SUM(AH11:AH16)+AH9</f>
        <v>2212.0853886122241</v>
      </c>
      <c r="AI17" s="8">
        <f t="shared" ref="AI17" si="29">SUM(AI11:AI16)+AI9</f>
        <v>3572</v>
      </c>
      <c r="AJ17" s="8">
        <f t="shared" ref="AJ17" si="30">SUM(AJ11:AJ16)+AJ9</f>
        <v>826.77433126457549</v>
      </c>
      <c r="AK17" s="8">
        <f t="shared" ref="AK17" si="31">SUM(AK11:AK16)+AK9</f>
        <v>2160.2256687354247</v>
      </c>
      <c r="AL17" s="8">
        <f t="shared" ref="AL17" si="32">SUM(AL11:AL16)+AL9</f>
        <v>2685.6375355636983</v>
      </c>
      <c r="AM17" s="8">
        <f t="shared" ref="AM17" si="33">SUM(AM11:AM16)+AM9</f>
        <v>4169.3624644363017</v>
      </c>
      <c r="AN17" s="8">
        <f t="shared" ref="AN17" si="34">SUM(AN11:AN16)+AN9</f>
        <v>1294.3359592996503</v>
      </c>
      <c r="AO17" s="8">
        <f t="shared" ref="AO17" si="35">SUM(AO11:AO16)+AO9</f>
        <v>2833.4840103154997</v>
      </c>
      <c r="AP17" s="8">
        <f t="shared" ref="AP17" si="36">SUM(AP11:AP16)+AP9</f>
        <v>3486.6458906282624</v>
      </c>
      <c r="AQ17" s="8">
        <f t="shared" ref="AQ17" si="37">SUM(AQ11:AQ16)+AQ9</f>
        <v>4268.534139756588</v>
      </c>
      <c r="AR17" s="8">
        <f t="shared" ref="AR17" si="38">SUM(AR11:AR16)+AR9</f>
        <v>1646.2384090373866</v>
      </c>
      <c r="AS17" s="8">
        <f t="shared" ref="AS17:AU17" si="39">SUM(AS11:AS16)+AS9</f>
        <v>3366.5805909626133</v>
      </c>
      <c r="AT17" s="8">
        <f t="shared" si="39"/>
        <v>4074.6499999999996</v>
      </c>
      <c r="AU17" s="8">
        <f t="shared" si="39"/>
        <v>4738.5309999999999</v>
      </c>
      <c r="AW17" s="8">
        <f t="shared" ref="AW17" si="40">SUM(AW11:AW16)+AW9</f>
        <v>3341.2496159623824</v>
      </c>
      <c r="AX17" s="8">
        <f t="shared" ref="AX17" si="41">SUM(AX11:AX16)+AX9</f>
        <v>4846.7503840376176</v>
      </c>
      <c r="AY17" s="8">
        <f t="shared" ref="AY17" si="42">SUM(AY11:AY16)+AY9</f>
        <v>5687</v>
      </c>
      <c r="AZ17" s="8">
        <f t="shared" ref="AZ17" si="43">SUM(AZ11:AZ16)+AZ9</f>
        <v>6457</v>
      </c>
      <c r="BA17" s="8">
        <f t="shared" ref="BA17" si="44">SUM(BA11:BA16)+BA9</f>
        <v>3936.7819902322267</v>
      </c>
      <c r="BB17" s="8">
        <f t="shared" ref="BB17:BC17" si="45">SUM(BB11:BB16)+BB9</f>
        <v>5658.2180097677738</v>
      </c>
      <c r="BC17" s="8">
        <f t="shared" si="45"/>
        <v>6242</v>
      </c>
      <c r="BD17" s="8">
        <f>SUM(BD11:BD16)+BD9</f>
        <v>7061</v>
      </c>
    </row>
    <row r="18" spans="2:56">
      <c r="B18" s="30" t="s">
        <v>138</v>
      </c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W18" s="10"/>
      <c r="AX18" s="10"/>
      <c r="AY18" s="10"/>
      <c r="AZ18" s="10"/>
      <c r="BA18" s="10"/>
      <c r="BB18" s="10"/>
      <c r="BC18" s="10"/>
      <c r="BD18" s="10"/>
    </row>
    <row r="19" spans="2:56" ht="43.2">
      <c r="B19" s="29" t="s">
        <v>139</v>
      </c>
      <c r="C19" s="11"/>
      <c r="D19" s="11">
        <f>'SG&amp;A(Q)'!D16</f>
        <v>19.58859</v>
      </c>
      <c r="E19" s="11">
        <f>'SG&amp;A(Q)'!E16</f>
        <v>0</v>
      </c>
      <c r="F19" s="11">
        <f>'SG&amp;A(Q)'!F16</f>
        <v>716</v>
      </c>
      <c r="G19" s="11">
        <f>'SG&amp;A(Q)'!G16</f>
        <v>1062</v>
      </c>
      <c r="H19" s="11">
        <f>'SG&amp;A(Q)'!H16</f>
        <v>8</v>
      </c>
      <c r="I19" s="11">
        <f>'SG&amp;A(Q)'!I16</f>
        <v>821</v>
      </c>
      <c r="J19" s="11">
        <f>'SG&amp;A(Q)'!J16</f>
        <v>783</v>
      </c>
      <c r="K19" s="11">
        <f>'SG&amp;A(Q)'!K16</f>
        <v>899</v>
      </c>
      <c r="M19" s="11">
        <f>'SG&amp;A(Q)'!M16</f>
        <v>783</v>
      </c>
      <c r="N19" s="11">
        <f>'SG&amp;A(Q)'!N16</f>
        <v>899</v>
      </c>
      <c r="O19" s="10"/>
      <c r="P19" s="11">
        <f>'SG&amp;A(Q)'!P16</f>
        <v>0</v>
      </c>
      <c r="Q19" s="11">
        <f>'SG&amp;A(Q)'!Q16</f>
        <v>0</v>
      </c>
      <c r="R19" s="11">
        <f>'SG&amp;A(Q)'!R16</f>
        <v>0</v>
      </c>
      <c r="S19" s="11">
        <f>'SG&amp;A(Q)'!S16</f>
        <v>19.58859</v>
      </c>
      <c r="T19" s="11">
        <f>'SG&amp;A(Q)'!T16</f>
        <v>0</v>
      </c>
      <c r="U19" s="11">
        <f>'SG&amp;A(Q)'!U16</f>
        <v>0</v>
      </c>
      <c r="V19" s="11">
        <f>'SG&amp;A(Q)'!V16</f>
        <v>0</v>
      </c>
      <c r="W19" s="11">
        <f>'SG&amp;A(Q)'!W16</f>
        <v>0</v>
      </c>
      <c r="X19" s="11">
        <f>'SG&amp;A(Q)'!X16</f>
        <v>0</v>
      </c>
      <c r="Y19" s="11">
        <f>'SG&amp;A(Q)'!Y16</f>
        <v>0</v>
      </c>
      <c r="Z19" s="11">
        <f>'SG&amp;A(Q)'!Z16</f>
        <v>0</v>
      </c>
      <c r="AA19" s="11">
        <f>'SG&amp;A(Q)'!AA16</f>
        <v>716</v>
      </c>
      <c r="AB19" s="11">
        <f>'SG&amp;A(Q)'!AB16</f>
        <v>0</v>
      </c>
      <c r="AC19" s="11">
        <f>'SG&amp;A(Q)'!AC16</f>
        <v>0</v>
      </c>
      <c r="AD19" s="11">
        <f>'SG&amp;A(Q)'!AD16</f>
        <v>28</v>
      </c>
      <c r="AE19" s="11">
        <f>'SG&amp;A(Q)'!AE16</f>
        <v>1034</v>
      </c>
      <c r="AF19" s="11">
        <f>'SG&amp;A(Q)'!AF16</f>
        <v>0</v>
      </c>
      <c r="AG19" s="11">
        <f>'SG&amp;A(Q)'!AG16</f>
        <v>-32</v>
      </c>
      <c r="AH19" s="11">
        <f>'SG&amp;A(Q)'!AH16</f>
        <v>121</v>
      </c>
      <c r="AI19" s="11">
        <f>'SG&amp;A(Q)'!AI16</f>
        <v>-81</v>
      </c>
      <c r="AJ19" s="11">
        <f>'SG&amp;A(Q)'!AJ16</f>
        <v>282</v>
      </c>
      <c r="AK19" s="11">
        <f>'SG&amp;A(Q)'!AK16</f>
        <v>59</v>
      </c>
      <c r="AL19" s="11">
        <f>'SG&amp;A(Q)'!AL16</f>
        <v>359</v>
      </c>
      <c r="AM19" s="11">
        <f>'SG&amp;A(Q)'!AM16</f>
        <v>121</v>
      </c>
      <c r="AN19" s="11">
        <f>'SG&amp;A(Q)'!AN16</f>
        <v>147</v>
      </c>
      <c r="AO19" s="11">
        <f>'SG&amp;A(Q)'!AO16</f>
        <v>148</v>
      </c>
      <c r="AP19" s="11">
        <f>'SG&amp;A(Q)'!AP16</f>
        <v>122</v>
      </c>
      <c r="AQ19" s="11">
        <f>'SG&amp;A(Q)'!AQ16</f>
        <v>366</v>
      </c>
      <c r="AR19" s="11">
        <f>'SG&amp;A(Q)'!AR16</f>
        <v>229</v>
      </c>
      <c r="AS19" s="11">
        <f>'SG&amp;A(Q)'!AS16</f>
        <v>93</v>
      </c>
      <c r="AT19" s="11">
        <f>'SG&amp;A(Q)'!AT16</f>
        <v>106</v>
      </c>
      <c r="AU19" s="11">
        <f>'SG&amp;A(Q)'!AU16</f>
        <v>471</v>
      </c>
      <c r="AW19" s="11">
        <f>'SG&amp;A(Q)'!AW16</f>
        <v>147</v>
      </c>
      <c r="AX19" s="11">
        <f>'SG&amp;A(Q)'!AX16</f>
        <v>148</v>
      </c>
      <c r="AY19" s="11">
        <f>'SG&amp;A(Q)'!AY16</f>
        <v>122</v>
      </c>
      <c r="AZ19" s="11">
        <f>'SG&amp;A(Q)'!AZ16</f>
        <v>366</v>
      </c>
      <c r="BA19" s="11">
        <f>'SG&amp;A(Q)'!BA16</f>
        <v>229</v>
      </c>
      <c r="BB19" s="11">
        <f>'SG&amp;A(Q)'!BB16</f>
        <v>93</v>
      </c>
      <c r="BC19" s="11">
        <f>'SG&amp;A(Q)'!BC16</f>
        <v>106</v>
      </c>
      <c r="BD19" s="11">
        <f>'SG&amp;A(Q)'!BD16</f>
        <v>471</v>
      </c>
    </row>
    <row r="20" spans="2:56">
      <c r="B20" s="18" t="s">
        <v>140</v>
      </c>
      <c r="C20" s="8"/>
      <c r="D20" s="8">
        <f t="shared" ref="D20:K20" si="46">D19+D17</f>
        <v>1701.8900744594955</v>
      </c>
      <c r="E20" s="8">
        <f t="shared" si="46"/>
        <v>2771.2435563434146</v>
      </c>
      <c r="F20" s="8">
        <f t="shared" si="46"/>
        <v>5625.9580946602146</v>
      </c>
      <c r="G20" s="8">
        <f t="shared" si="46"/>
        <v>6184</v>
      </c>
      <c r="H20" s="8">
        <f t="shared" si="46"/>
        <v>8203</v>
      </c>
      <c r="I20" s="8">
        <f t="shared" si="46"/>
        <v>10663</v>
      </c>
      <c r="J20" s="8">
        <f t="shared" si="46"/>
        <v>12666</v>
      </c>
      <c r="K20" s="8">
        <f t="shared" si="46"/>
        <v>14725</v>
      </c>
      <c r="M20" s="8">
        <f>M19+M17</f>
        <v>21115</v>
      </c>
      <c r="N20" s="8">
        <f>N19+N17</f>
        <v>23797</v>
      </c>
      <c r="O20" s="10"/>
      <c r="P20" s="8">
        <f t="shared" ref="P20:AS20" si="47">P19+P17</f>
        <v>-449.25829504570208</v>
      </c>
      <c r="Q20" s="8">
        <f t="shared" si="47"/>
        <v>-33.623718247621184</v>
      </c>
      <c r="R20" s="8">
        <f t="shared" si="47"/>
        <v>623.99818073518099</v>
      </c>
      <c r="S20" s="8">
        <f t="shared" si="47"/>
        <v>1560.7739070176381</v>
      </c>
      <c r="T20" s="8">
        <f t="shared" si="47"/>
        <v>-460.15980682830667</v>
      </c>
      <c r="U20" s="8">
        <f t="shared" si="47"/>
        <v>300.81679016935686</v>
      </c>
      <c r="V20" s="8">
        <f t="shared" si="47"/>
        <v>1104.2810400026574</v>
      </c>
      <c r="W20" s="8">
        <f t="shared" si="47"/>
        <v>1826.3055329997071</v>
      </c>
      <c r="X20" s="8">
        <f t="shared" si="47"/>
        <v>66.482747186378333</v>
      </c>
      <c r="Y20" s="8">
        <f t="shared" si="47"/>
        <v>632.61500034748553</v>
      </c>
      <c r="Z20" s="8">
        <f t="shared" si="47"/>
        <v>1563.799356669695</v>
      </c>
      <c r="AA20" s="8">
        <f t="shared" si="47"/>
        <v>3363.0609904566554</v>
      </c>
      <c r="AB20" s="8">
        <f t="shared" si="47"/>
        <v>688.61984277393231</v>
      </c>
      <c r="AC20" s="8">
        <f t="shared" si="47"/>
        <v>628.38015722606769</v>
      </c>
      <c r="AD20" s="8">
        <f t="shared" si="47"/>
        <v>1651</v>
      </c>
      <c r="AE20" s="8">
        <f t="shared" si="47"/>
        <v>3216</v>
      </c>
      <c r="AF20" s="8">
        <f t="shared" si="47"/>
        <v>805.32950611365368</v>
      </c>
      <c r="AG20" s="8">
        <f t="shared" si="47"/>
        <v>1573.5851052741223</v>
      </c>
      <c r="AH20" s="8">
        <f t="shared" si="47"/>
        <v>2333.0853886122241</v>
      </c>
      <c r="AI20" s="8">
        <f t="shared" si="47"/>
        <v>3491</v>
      </c>
      <c r="AJ20" s="8">
        <f t="shared" si="47"/>
        <v>1108.7743312645755</v>
      </c>
      <c r="AK20" s="8">
        <f t="shared" si="47"/>
        <v>2219.2256687354247</v>
      </c>
      <c r="AL20" s="8">
        <f t="shared" si="47"/>
        <v>3044.6375355636983</v>
      </c>
      <c r="AM20" s="8">
        <f t="shared" si="47"/>
        <v>4290.3624644363017</v>
      </c>
      <c r="AN20" s="8">
        <f t="shared" si="47"/>
        <v>1441.3359592996503</v>
      </c>
      <c r="AO20" s="8">
        <f t="shared" si="47"/>
        <v>2981.4840103154997</v>
      </c>
      <c r="AP20" s="8">
        <f t="shared" si="47"/>
        <v>3608.6458906282624</v>
      </c>
      <c r="AQ20" s="8">
        <f t="shared" si="47"/>
        <v>4634.534139756588</v>
      </c>
      <c r="AR20" s="8">
        <f t="shared" si="47"/>
        <v>1875.2384090373866</v>
      </c>
      <c r="AS20" s="8">
        <f t="shared" si="47"/>
        <v>3459.5805909626133</v>
      </c>
      <c r="AT20" s="8">
        <f t="shared" ref="AT20:AU20" si="48">AT19+AT17</f>
        <v>4180.6499999999996</v>
      </c>
      <c r="AU20" s="8">
        <f t="shared" si="48"/>
        <v>5209.5309999999999</v>
      </c>
      <c r="AW20" s="8">
        <f t="shared" ref="AW20:BB20" si="49">AW19+AW17</f>
        <v>3488.2496159623824</v>
      </c>
      <c r="AX20" s="8">
        <f t="shared" si="49"/>
        <v>4994.7503840376176</v>
      </c>
      <c r="AY20" s="8">
        <f t="shared" si="49"/>
        <v>5809</v>
      </c>
      <c r="AZ20" s="8">
        <f t="shared" si="49"/>
        <v>6823</v>
      </c>
      <c r="BA20" s="8">
        <f t="shared" si="49"/>
        <v>4165.7819902322262</v>
      </c>
      <c r="BB20" s="8">
        <f t="shared" si="49"/>
        <v>5751.2180097677738</v>
      </c>
      <c r="BC20" s="8">
        <f t="shared" ref="BC20" si="50">BC19+BC17</f>
        <v>6348</v>
      </c>
      <c r="BD20" s="8">
        <f>BD19+BD17</f>
        <v>7532</v>
      </c>
    </row>
    <row r="24" spans="2:56">
      <c r="B24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D36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22" sqref="H22"/>
    </sheetView>
  </sheetViews>
  <sheetFormatPr defaultRowHeight="14.4"/>
  <cols>
    <col min="1" max="1" width="3.33203125" customWidth="1"/>
    <col min="2" max="2" width="52.44140625" customWidth="1"/>
    <col min="3" max="14" width="8.88671875" customWidth="1"/>
    <col min="15" max="15" width="32.109375" customWidth="1"/>
    <col min="16" max="52" width="8.88671875" customWidth="1"/>
  </cols>
  <sheetData>
    <row r="2" spans="2:56" ht="34.799999999999997">
      <c r="B2" s="118" t="str">
        <f>Content!B18</f>
        <v>Debt Structure</v>
      </c>
    </row>
    <row r="3" spans="2:56" ht="16.8">
      <c r="B3" s="117" t="s">
        <v>0</v>
      </c>
    </row>
    <row r="4" spans="2:56">
      <c r="B4" s="119"/>
    </row>
    <row r="5" spans="2:56" ht="15" thickBot="1">
      <c r="B5" s="2"/>
    </row>
    <row r="6" spans="2:56" ht="15" thickTop="1">
      <c r="B6" s="121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'Financial Position'!N6</f>
        <v>IFRS 16</v>
      </c>
      <c r="O6" s="13"/>
      <c r="P6" s="4" t="str">
        <f>I6</f>
        <v>IAS 17</v>
      </c>
      <c r="Q6" s="4" t="str">
        <f>P6</f>
        <v>IAS 17</v>
      </c>
      <c r="R6" s="4" t="str">
        <f>Q6</f>
        <v>IAS 17</v>
      </c>
      <c r="S6" s="4" t="str">
        <f t="shared" ref="S6" si="1">R6</f>
        <v>IAS 17</v>
      </c>
      <c r="T6" s="4" t="str">
        <f>H6</f>
        <v>IAS 17</v>
      </c>
      <c r="U6" s="4" t="str">
        <f>F6</f>
        <v>IAS 17</v>
      </c>
      <c r="V6" s="4" t="str">
        <f>U6</f>
        <v>IAS 17</v>
      </c>
      <c r="W6" s="4" t="str">
        <f t="shared" ref="W6:AM6" si="2">V6</f>
        <v>IAS 17</v>
      </c>
      <c r="X6" s="4" t="str">
        <f t="shared" si="2"/>
        <v>IAS 17</v>
      </c>
      <c r="Y6" s="4" t="str">
        <f t="shared" si="2"/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W6" s="4" t="str">
        <f>M6</f>
        <v>IFRS 16</v>
      </c>
      <c r="AX6" s="4" t="str">
        <f t="shared" ref="AX6:AZ6" si="3">AW6</f>
        <v>IFRS 16</v>
      </c>
      <c r="AY6" s="4" t="str">
        <f t="shared" si="3"/>
        <v>IFRS 16</v>
      </c>
      <c r="AZ6" s="4" t="str">
        <f t="shared" si="3"/>
        <v>IFRS 16</v>
      </c>
      <c r="BA6" s="4" t="str">
        <f>AW6</f>
        <v>IFRS 16</v>
      </c>
      <c r="BB6" s="4" t="str">
        <f t="shared" ref="BB6" si="4">BA6</f>
        <v>IFRS 16</v>
      </c>
      <c r="BC6" s="4" t="str">
        <f t="shared" ref="BC6" si="5">BB6</f>
        <v>IFRS 16</v>
      </c>
      <c r="BD6" s="4" t="str">
        <f t="shared" ref="BD6" si="6">BC6</f>
        <v>IFRS 16</v>
      </c>
    </row>
    <row r="7" spans="2:56" ht="15" thickBot="1">
      <c r="B7" s="122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3" t="s">
        <v>35</v>
      </c>
      <c r="Q7" s="3" t="s">
        <v>36</v>
      </c>
      <c r="R7" s="3" t="s">
        <v>37</v>
      </c>
      <c r="S7" s="3" t="s">
        <v>38</v>
      </c>
      <c r="T7" s="3" t="s">
        <v>10</v>
      </c>
      <c r="U7" s="3" t="s">
        <v>11</v>
      </c>
      <c r="V7" s="3" t="s">
        <v>12</v>
      </c>
      <c r="W7" s="3" t="s">
        <v>13</v>
      </c>
      <c r="X7" s="3" t="s">
        <v>14</v>
      </c>
      <c r="Y7" s="3" t="s">
        <v>15</v>
      </c>
      <c r="Z7" s="3" t="s">
        <v>16</v>
      </c>
      <c r="AA7" s="3" t="s">
        <v>17</v>
      </c>
      <c r="AB7" s="3" t="s">
        <v>18</v>
      </c>
      <c r="AC7" s="3" t="s">
        <v>19</v>
      </c>
      <c r="AD7" s="3" t="s">
        <v>20</v>
      </c>
      <c r="AE7" s="3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167</v>
      </c>
      <c r="AS7" s="3" t="s">
        <v>168</v>
      </c>
      <c r="AT7" s="3" t="s">
        <v>169</v>
      </c>
      <c r="AU7" s="3" t="s">
        <v>170</v>
      </c>
      <c r="AW7" s="3" t="s">
        <v>47</v>
      </c>
      <c r="AX7" s="3" t="s">
        <v>48</v>
      </c>
      <c r="AY7" s="3" t="s">
        <v>49</v>
      </c>
      <c r="AZ7" s="3" t="s">
        <v>50</v>
      </c>
      <c r="BA7" s="3" t="s">
        <v>167</v>
      </c>
      <c r="BB7" s="3" t="s">
        <v>168</v>
      </c>
      <c r="BC7" s="3" t="s">
        <v>169</v>
      </c>
      <c r="BD7" s="3" t="s">
        <v>170</v>
      </c>
    </row>
    <row r="8" spans="2:56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W8" s="13"/>
      <c r="AX8" s="13"/>
      <c r="AY8" s="13"/>
      <c r="AZ8" s="13"/>
      <c r="BA8" s="13"/>
      <c r="BB8" s="13"/>
      <c r="BC8" s="13"/>
      <c r="BD8" s="13"/>
    </row>
    <row r="9" spans="2:56">
      <c r="B9" s="18" t="s">
        <v>128</v>
      </c>
      <c r="C9" s="8"/>
      <c r="D9" s="8">
        <f t="shared" ref="D9:I9" si="8">D10+D12</f>
        <v>2997.58</v>
      </c>
      <c r="E9" s="8">
        <f t="shared" si="8"/>
        <v>5922.3209999999999</v>
      </c>
      <c r="F9" s="8">
        <f t="shared" si="8"/>
        <v>9715.9789999999994</v>
      </c>
      <c r="G9" s="8">
        <f t="shared" si="8"/>
        <v>18359</v>
      </c>
      <c r="H9" s="8">
        <f t="shared" si="8"/>
        <v>14638</v>
      </c>
      <c r="I9" s="8">
        <f t="shared" si="8"/>
        <v>13591</v>
      </c>
      <c r="J9" s="8">
        <f>J10+J12</f>
        <v>21470</v>
      </c>
      <c r="K9" s="8">
        <f>K10+K12</f>
        <v>19250</v>
      </c>
      <c r="M9" s="8">
        <f>M10+M12</f>
        <v>21470</v>
      </c>
      <c r="N9" s="8">
        <f>N10+N12</f>
        <v>19250</v>
      </c>
      <c r="O9" s="10"/>
      <c r="P9" s="8">
        <f t="shared" ref="P9:AS9" si="9">P10+P12</f>
        <v>3883.8580000000002</v>
      </c>
      <c r="Q9" s="8">
        <f t="shared" si="9"/>
        <v>3854.7290000000003</v>
      </c>
      <c r="R9" s="8">
        <f t="shared" si="9"/>
        <v>4246.6900000000005</v>
      </c>
      <c r="S9" s="8">
        <f t="shared" si="9"/>
        <v>2997.58</v>
      </c>
      <c r="T9" s="8">
        <f t="shared" si="9"/>
        <v>3275.0879999999997</v>
      </c>
      <c r="U9" s="8">
        <f t="shared" si="9"/>
        <v>2711.3630000000003</v>
      </c>
      <c r="V9" s="8">
        <f t="shared" si="9"/>
        <v>6712.8789999999999</v>
      </c>
      <c r="W9" s="8">
        <f t="shared" si="9"/>
        <v>5922.3209999999999</v>
      </c>
      <c r="X9" s="8">
        <f t="shared" si="9"/>
        <v>8841.8539999999994</v>
      </c>
      <c r="Y9" s="8">
        <f t="shared" si="9"/>
        <v>8499.6779999999999</v>
      </c>
      <c r="Z9" s="8">
        <f t="shared" si="9"/>
        <v>7404.7030000000004</v>
      </c>
      <c r="AA9" s="8">
        <f t="shared" si="9"/>
        <v>9715.9789999999994</v>
      </c>
      <c r="AB9" s="8">
        <f t="shared" si="9"/>
        <v>11980.727999999999</v>
      </c>
      <c r="AC9" s="8">
        <f t="shared" si="9"/>
        <v>13520.892</v>
      </c>
      <c r="AD9" s="8">
        <f t="shared" si="9"/>
        <v>18327.36</v>
      </c>
      <c r="AE9" s="8">
        <f t="shared" si="9"/>
        <v>18359</v>
      </c>
      <c r="AF9" s="8">
        <f t="shared" si="9"/>
        <v>13574.170000000002</v>
      </c>
      <c r="AG9" s="8">
        <f t="shared" si="9"/>
        <v>13602</v>
      </c>
      <c r="AH9" s="8">
        <f t="shared" si="9"/>
        <v>13002</v>
      </c>
      <c r="AI9" s="8">
        <f t="shared" si="9"/>
        <v>14638</v>
      </c>
      <c r="AJ9" s="8">
        <f t="shared" si="9"/>
        <v>16324.861000000001</v>
      </c>
      <c r="AK9" s="8">
        <f t="shared" si="9"/>
        <v>15692</v>
      </c>
      <c r="AL9" s="8">
        <f t="shared" si="9"/>
        <v>15028.753000000001</v>
      </c>
      <c r="AM9" s="8">
        <f t="shared" si="9"/>
        <v>13591</v>
      </c>
      <c r="AN9" s="8">
        <f t="shared" si="9"/>
        <v>17264.487000000001</v>
      </c>
      <c r="AO9" s="8">
        <f t="shared" si="9"/>
        <v>19686.148999999998</v>
      </c>
      <c r="AP9" s="8">
        <f t="shared" si="9"/>
        <v>17617.317999999999</v>
      </c>
      <c r="AQ9" s="8">
        <f t="shared" si="9"/>
        <v>21470</v>
      </c>
      <c r="AR9" s="8">
        <f t="shared" si="9"/>
        <v>24445.175999999999</v>
      </c>
      <c r="AS9" s="8">
        <f t="shared" si="9"/>
        <v>27493.687999999998</v>
      </c>
      <c r="AT9" s="8">
        <f t="shared" ref="AT9:AU9" si="10">AT10+AT12</f>
        <v>20906</v>
      </c>
      <c r="AU9" s="8">
        <f t="shared" si="10"/>
        <v>19250</v>
      </c>
      <c r="AW9" s="8">
        <f t="shared" ref="AW9" si="11">AW10+AW12</f>
        <v>17264.487000000001</v>
      </c>
      <c r="AX9" s="8">
        <f t="shared" ref="AX9" si="12">AX10+AX12</f>
        <v>19686</v>
      </c>
      <c r="AY9" s="8">
        <f t="shared" ref="AY9" si="13">AY10+AY12</f>
        <v>17617.317999999999</v>
      </c>
      <c r="AZ9" s="8">
        <f t="shared" ref="AZ9" si="14">AZ10+AZ12</f>
        <v>21470</v>
      </c>
      <c r="BA9" s="8">
        <f t="shared" ref="BA9" si="15">BA10+BA12</f>
        <v>24445.175999999999</v>
      </c>
      <c r="BB9" s="8">
        <f t="shared" ref="BB9:BC9" si="16">BB10+BB12</f>
        <v>27493.687999999998</v>
      </c>
      <c r="BC9" s="8">
        <f t="shared" si="16"/>
        <v>20906</v>
      </c>
      <c r="BD9" s="8">
        <f t="shared" ref="BD9" si="17">BD10+BD12</f>
        <v>19250</v>
      </c>
    </row>
    <row r="10" spans="2:56">
      <c r="B10" s="23" t="s">
        <v>129</v>
      </c>
      <c r="C10" s="10"/>
      <c r="D10" s="10">
        <f>'Financial Position'!D46</f>
        <v>1000.0170000000001</v>
      </c>
      <c r="E10" s="10">
        <f>'Financial Position'!E46</f>
        <v>1572.3209999999999</v>
      </c>
      <c r="F10" s="10">
        <f>'Financial Position'!F46</f>
        <v>6228.3090000000002</v>
      </c>
      <c r="G10" s="10">
        <f>'Financial Position'!G46</f>
        <v>12894</v>
      </c>
      <c r="H10" s="10">
        <f>'Financial Position'!H46</f>
        <v>8124</v>
      </c>
      <c r="I10" s="10">
        <f>'Financial Position'!I46</f>
        <v>4635</v>
      </c>
      <c r="J10" s="10">
        <f>'Financial Position'!J46</f>
        <v>12542</v>
      </c>
      <c r="K10" s="10">
        <f>'Financial Position'!K46</f>
        <v>10270</v>
      </c>
      <c r="M10" s="10">
        <f>'Financial Position'!M46</f>
        <v>12542</v>
      </c>
      <c r="N10" s="10">
        <f>'Financial Position'!N46</f>
        <v>10270</v>
      </c>
      <c r="O10" s="10"/>
      <c r="P10" s="10">
        <f>'Financial Position'!P46</f>
        <v>33.857999999999997</v>
      </c>
      <c r="Q10" s="10">
        <f>'Financial Position'!Q46</f>
        <v>654.72900000000004</v>
      </c>
      <c r="R10" s="10">
        <f>'Financial Position'!R46</f>
        <v>976.08500000000004</v>
      </c>
      <c r="S10" s="10">
        <f>'Financial Position'!S46</f>
        <v>1000.0170000000001</v>
      </c>
      <c r="T10" s="10">
        <f>'Financial Position'!T46</f>
        <v>1206.7560000000001</v>
      </c>
      <c r="U10" s="10">
        <f>'Financial Position'!U46</f>
        <v>1561.3630000000001</v>
      </c>
      <c r="V10" s="10">
        <f>'Financial Position'!V46</f>
        <v>2362.8789999999999</v>
      </c>
      <c r="W10" s="10">
        <f>'Financial Position'!W46</f>
        <v>1572.3209999999999</v>
      </c>
      <c r="X10" s="10">
        <f>'Financial Position'!X46</f>
        <v>4491.8540000000003</v>
      </c>
      <c r="Y10" s="10">
        <f>'Financial Position'!Y46</f>
        <v>5299.6779999999999</v>
      </c>
      <c r="Z10" s="10">
        <f>'Financial Position'!Z46</f>
        <v>4204.7030000000004</v>
      </c>
      <c r="AA10" s="10">
        <f>'Financial Position'!AA46</f>
        <v>6228.3090000000002</v>
      </c>
      <c r="AB10" s="10">
        <f>'Financial Position'!AB46</f>
        <v>8495.3449999999993</v>
      </c>
      <c r="AC10" s="10">
        <f>'Financial Position'!AC46</f>
        <v>9275.3279999999995</v>
      </c>
      <c r="AD10" s="10">
        <f>'Financial Position'!AD46</f>
        <v>12381.796</v>
      </c>
      <c r="AE10" s="10">
        <f>'Financial Position'!AE46</f>
        <v>12894</v>
      </c>
      <c r="AF10" s="10">
        <f>'Financial Position'!AF46</f>
        <v>8509.0570000000007</v>
      </c>
      <c r="AG10" s="10">
        <f>'Financial Position'!AG46</f>
        <v>8937</v>
      </c>
      <c r="AH10" s="10">
        <f>'Financial Position'!AH46</f>
        <v>8737</v>
      </c>
      <c r="AI10" s="10">
        <f>'Financial Position'!AI46</f>
        <v>8124</v>
      </c>
      <c r="AJ10" s="10">
        <f>'Financial Position'!AJ46</f>
        <v>6277.4920000000002</v>
      </c>
      <c r="AK10" s="10">
        <f>'Financial Position'!AK46</f>
        <v>8984</v>
      </c>
      <c r="AL10" s="10">
        <f>'Financial Position'!AL46</f>
        <v>5025</v>
      </c>
      <c r="AM10" s="10">
        <f>'Financial Position'!AM46</f>
        <v>4635</v>
      </c>
      <c r="AN10" s="10">
        <f>'Financial Position'!AN46</f>
        <v>9400.7330000000002</v>
      </c>
      <c r="AO10" s="10">
        <f>'Financial Position'!AO46</f>
        <v>9128.7420000000002</v>
      </c>
      <c r="AP10" s="10">
        <f>'Financial Position'!AP46</f>
        <v>6943.18</v>
      </c>
      <c r="AQ10" s="10">
        <f>'Financial Position'!AQ46</f>
        <v>12542</v>
      </c>
      <c r="AR10" s="10">
        <f>'Financial Position'!AR46</f>
        <v>19225.175999999999</v>
      </c>
      <c r="AS10" s="10">
        <f>'Financial Position'!AS46</f>
        <v>21543.687999999998</v>
      </c>
      <c r="AT10" s="10">
        <f>'Financial Position'!AT46</f>
        <v>14926</v>
      </c>
      <c r="AU10" s="10">
        <f>'Financial Position'!AU46</f>
        <v>10270</v>
      </c>
      <c r="AW10" s="10">
        <f>'Financial Position'!AW46</f>
        <v>9400.7330000000002</v>
      </c>
      <c r="AX10" s="10">
        <f>'Financial Position'!AX46</f>
        <v>9129</v>
      </c>
      <c r="AY10" s="10">
        <f>'Financial Position'!AY46</f>
        <v>6943.18</v>
      </c>
      <c r="AZ10" s="10">
        <f>'Financial Position'!AZ46</f>
        <v>12542</v>
      </c>
      <c r="BA10" s="10">
        <f>'Financial Position'!BA46</f>
        <v>19225.175999999999</v>
      </c>
      <c r="BB10" s="10">
        <f>'Financial Position'!BB46</f>
        <v>21543.687999999998</v>
      </c>
      <c r="BC10" s="10">
        <f>'Financial Position'!BC46</f>
        <v>14926</v>
      </c>
      <c r="BD10" s="10">
        <f>'Financial Position'!BD46</f>
        <v>10270</v>
      </c>
    </row>
    <row r="11" spans="2:56">
      <c r="B11" s="32" t="s">
        <v>130</v>
      </c>
      <c r="C11" s="34"/>
      <c r="D11" s="34">
        <f t="shared" ref="D11:I11" si="18">D10/D9</f>
        <v>0.33360811054250433</v>
      </c>
      <c r="E11" s="34">
        <f t="shared" si="18"/>
        <v>0.26549067502420082</v>
      </c>
      <c r="F11" s="34">
        <f t="shared" si="18"/>
        <v>0.64103771735200343</v>
      </c>
      <c r="G11" s="34">
        <f t="shared" si="18"/>
        <v>0.70232583474045429</v>
      </c>
      <c r="H11" s="34">
        <f t="shared" si="18"/>
        <v>0.55499385161907366</v>
      </c>
      <c r="I11" s="34">
        <f t="shared" si="18"/>
        <v>0.34103450813038039</v>
      </c>
      <c r="J11" s="34">
        <f t="shared" ref="J11:K11" si="19">J10/J9</f>
        <v>0.58416394969725194</v>
      </c>
      <c r="K11" s="34">
        <f t="shared" si="19"/>
        <v>0.53350649350649348</v>
      </c>
      <c r="M11" s="34">
        <f t="shared" ref="M11:N11" si="20">M10/M9</f>
        <v>0.58416394969725194</v>
      </c>
      <c r="N11" s="34">
        <f t="shared" si="20"/>
        <v>0.53350649350649348</v>
      </c>
      <c r="O11" s="10"/>
      <c r="P11" s="34">
        <f t="shared" ref="P11:AS11" si="21">P10/P9</f>
        <v>8.7176204691314652E-3</v>
      </c>
      <c r="Q11" s="34">
        <f t="shared" si="21"/>
        <v>0.16985085073425396</v>
      </c>
      <c r="R11" s="34">
        <f t="shared" si="21"/>
        <v>0.22984606834970292</v>
      </c>
      <c r="S11" s="34">
        <f t="shared" si="21"/>
        <v>0.33360811054250433</v>
      </c>
      <c r="T11" s="34">
        <f t="shared" si="21"/>
        <v>0.36846521375914182</v>
      </c>
      <c r="U11" s="34">
        <f t="shared" si="21"/>
        <v>0.57585907899458677</v>
      </c>
      <c r="V11" s="34">
        <f t="shared" si="21"/>
        <v>0.35199189498276373</v>
      </c>
      <c r="W11" s="34">
        <f t="shared" si="21"/>
        <v>0.26549067502420082</v>
      </c>
      <c r="X11" s="34">
        <f t="shared" si="21"/>
        <v>0.50802173390331939</v>
      </c>
      <c r="Y11" s="34">
        <f t="shared" si="21"/>
        <v>0.62351514963272725</v>
      </c>
      <c r="Z11" s="34">
        <f t="shared" si="21"/>
        <v>0.56784222135580598</v>
      </c>
      <c r="AA11" s="34">
        <f t="shared" si="21"/>
        <v>0.64103771735200343</v>
      </c>
      <c r="AB11" s="34">
        <f t="shared" si="21"/>
        <v>0.70908420590134424</v>
      </c>
      <c r="AC11" s="34">
        <f t="shared" si="21"/>
        <v>0.68599971066997645</v>
      </c>
      <c r="AD11" s="34">
        <f t="shared" si="21"/>
        <v>0.67559081067867932</v>
      </c>
      <c r="AE11" s="34">
        <f t="shared" si="21"/>
        <v>0.70232583474045429</v>
      </c>
      <c r="AF11" s="34">
        <f t="shared" si="21"/>
        <v>0.62685652235090616</v>
      </c>
      <c r="AG11" s="34">
        <f t="shared" si="21"/>
        <v>0.65703573003970006</v>
      </c>
      <c r="AH11" s="34">
        <f t="shared" si="21"/>
        <v>0.67197354253191821</v>
      </c>
      <c r="AI11" s="34">
        <f t="shared" si="21"/>
        <v>0.55499385161907366</v>
      </c>
      <c r="AJ11" s="34">
        <f t="shared" si="21"/>
        <v>0.38453570906361773</v>
      </c>
      <c r="AK11" s="34">
        <f t="shared" si="21"/>
        <v>0.57252102982411424</v>
      </c>
      <c r="AL11" s="34">
        <f t="shared" si="21"/>
        <v>0.33435907822824684</v>
      </c>
      <c r="AM11" s="34">
        <f t="shared" si="21"/>
        <v>0.34103450813038039</v>
      </c>
      <c r="AN11" s="34">
        <f t="shared" si="21"/>
        <v>0.54451273298766423</v>
      </c>
      <c r="AO11" s="34">
        <f t="shared" si="21"/>
        <v>0.46371395441536084</v>
      </c>
      <c r="AP11" s="34">
        <f t="shared" si="21"/>
        <v>0.394111067303207</v>
      </c>
      <c r="AQ11" s="34">
        <f t="shared" si="21"/>
        <v>0.58416394969725194</v>
      </c>
      <c r="AR11" s="34">
        <f t="shared" si="21"/>
        <v>0.78646093609634882</v>
      </c>
      <c r="AS11" s="34">
        <f t="shared" si="21"/>
        <v>0.78358669087973931</v>
      </c>
      <c r="AT11" s="34">
        <f t="shared" ref="AT11:AU11" si="22">AT10/AT9</f>
        <v>0.7139577154883765</v>
      </c>
      <c r="AU11" s="34">
        <f t="shared" si="22"/>
        <v>0.53350649350649348</v>
      </c>
      <c r="AW11" s="34">
        <f t="shared" ref="AW11:BB11" si="23">AW10/AW9</f>
        <v>0.54451273298766423</v>
      </c>
      <c r="AX11" s="34">
        <f t="shared" si="23"/>
        <v>0.46373056994818651</v>
      </c>
      <c r="AY11" s="34">
        <f t="shared" si="23"/>
        <v>0.394111067303207</v>
      </c>
      <c r="AZ11" s="34">
        <f t="shared" si="23"/>
        <v>0.58416394969725194</v>
      </c>
      <c r="BA11" s="34">
        <f t="shared" si="23"/>
        <v>0.78646093609634882</v>
      </c>
      <c r="BB11" s="34">
        <f t="shared" si="23"/>
        <v>0.78358669087973931</v>
      </c>
      <c r="BC11" s="34">
        <f t="shared" ref="BC11:BD11" si="24">BC10/BC9</f>
        <v>0.7139577154883765</v>
      </c>
      <c r="BD11" s="34">
        <f t="shared" si="24"/>
        <v>0.53350649350649348</v>
      </c>
    </row>
    <row r="12" spans="2:56">
      <c r="B12" s="23" t="s">
        <v>61</v>
      </c>
      <c r="C12" s="10"/>
      <c r="D12" s="10">
        <f>'Financial Position'!D41</f>
        <v>1997.5630000000001</v>
      </c>
      <c r="E12" s="10">
        <f>'Financial Position'!E41</f>
        <v>4350</v>
      </c>
      <c r="F12" s="10">
        <f>'Financial Position'!F41</f>
        <v>3487.67</v>
      </c>
      <c r="G12" s="10">
        <f>'Financial Position'!G41</f>
        <v>5465</v>
      </c>
      <c r="H12" s="10">
        <f>'Financial Position'!H41</f>
        <v>6514</v>
      </c>
      <c r="I12" s="10">
        <f>'Financial Position'!I41</f>
        <v>8956</v>
      </c>
      <c r="J12" s="10">
        <f>'Financial Position'!J41</f>
        <v>8928</v>
      </c>
      <c r="K12" s="10">
        <f>'Financial Position'!K41</f>
        <v>8980</v>
      </c>
      <c r="M12" s="10">
        <f>'Financial Position'!M41</f>
        <v>8928</v>
      </c>
      <c r="N12" s="10">
        <f>'Financial Position'!N41</f>
        <v>8980</v>
      </c>
      <c r="O12" s="10"/>
      <c r="P12" s="10">
        <f>'Financial Position'!P41</f>
        <v>3850</v>
      </c>
      <c r="Q12" s="10">
        <f>'Financial Position'!Q41</f>
        <v>3200</v>
      </c>
      <c r="R12" s="10">
        <f>'Financial Position'!R41</f>
        <v>3270.605</v>
      </c>
      <c r="S12" s="10">
        <f>'Financial Position'!S41</f>
        <v>1997.5630000000001</v>
      </c>
      <c r="T12" s="10">
        <f>'Financial Position'!T41</f>
        <v>2068.3319999999999</v>
      </c>
      <c r="U12" s="10">
        <f>'Financial Position'!U41</f>
        <v>1150</v>
      </c>
      <c r="V12" s="10">
        <f>'Financial Position'!V41</f>
        <v>4350</v>
      </c>
      <c r="W12" s="10">
        <f>'Financial Position'!W41</f>
        <v>4350</v>
      </c>
      <c r="X12" s="10">
        <f>'Financial Position'!X41</f>
        <v>4350</v>
      </c>
      <c r="Y12" s="10">
        <f>'Financial Position'!Y41</f>
        <v>3200</v>
      </c>
      <c r="Z12" s="10">
        <f>'Financial Position'!Z41</f>
        <v>3200</v>
      </c>
      <c r="AA12" s="10">
        <f>'Financial Position'!AA41</f>
        <v>3487.67</v>
      </c>
      <c r="AB12" s="10">
        <f>'Financial Position'!AB41</f>
        <v>3485.3829999999998</v>
      </c>
      <c r="AC12" s="10">
        <f>'Financial Position'!AC41</f>
        <v>4245.5640000000003</v>
      </c>
      <c r="AD12" s="10">
        <f>'Financial Position'!AD41</f>
        <v>5945.5640000000003</v>
      </c>
      <c r="AE12" s="10">
        <f>'Financial Position'!AE41</f>
        <v>5465</v>
      </c>
      <c r="AF12" s="10">
        <f>'Financial Position'!AF41</f>
        <v>5065.1130000000003</v>
      </c>
      <c r="AG12" s="10">
        <f>'Financial Position'!AG41</f>
        <v>4665</v>
      </c>
      <c r="AH12" s="10">
        <f>'Financial Position'!AH41</f>
        <v>4265</v>
      </c>
      <c r="AI12" s="10">
        <f>'Financial Position'!AI41</f>
        <v>6514</v>
      </c>
      <c r="AJ12" s="10">
        <f>'Financial Position'!AJ41</f>
        <v>10047.369000000001</v>
      </c>
      <c r="AK12" s="10">
        <f>'Financial Position'!AK41</f>
        <v>6708</v>
      </c>
      <c r="AL12" s="10">
        <f>'Financial Position'!AL41</f>
        <v>10003.753000000001</v>
      </c>
      <c r="AM12" s="10">
        <f>'Financial Position'!AM41</f>
        <v>8956</v>
      </c>
      <c r="AN12" s="10">
        <f>'Financial Position'!AN41</f>
        <v>7863.7539999999999</v>
      </c>
      <c r="AO12" s="10">
        <f>'Financial Position'!AO41</f>
        <v>10557.406999999999</v>
      </c>
      <c r="AP12" s="10">
        <f>'Financial Position'!AP41</f>
        <v>10674.138000000001</v>
      </c>
      <c r="AQ12" s="10">
        <f>'Financial Position'!AQ41</f>
        <v>8928</v>
      </c>
      <c r="AR12" s="10">
        <f>'Financial Position'!AR41</f>
        <v>5220</v>
      </c>
      <c r="AS12" s="10">
        <f>'Financial Position'!AS41</f>
        <v>5950</v>
      </c>
      <c r="AT12" s="10">
        <f>'Financial Position'!AT41</f>
        <v>5980</v>
      </c>
      <c r="AU12" s="10">
        <f>'Financial Position'!AU41</f>
        <v>8980</v>
      </c>
      <c r="AW12" s="10">
        <f>'Financial Position'!AW41</f>
        <v>7863.7539999999999</v>
      </c>
      <c r="AX12" s="10">
        <f>'Financial Position'!AX41</f>
        <v>10557</v>
      </c>
      <c r="AY12" s="10">
        <f>'Financial Position'!AY41</f>
        <v>10674.138000000001</v>
      </c>
      <c r="AZ12" s="10">
        <f>'Financial Position'!AZ41</f>
        <v>8928</v>
      </c>
      <c r="BA12" s="10">
        <f>'Financial Position'!BA41</f>
        <v>5220</v>
      </c>
      <c r="BB12" s="10">
        <f>'Financial Position'!BB41</f>
        <v>5950</v>
      </c>
      <c r="BC12" s="10">
        <f>'Financial Position'!BC41</f>
        <v>5980</v>
      </c>
      <c r="BD12" s="10">
        <f>'Financial Position'!BD41</f>
        <v>8980</v>
      </c>
    </row>
    <row r="13" spans="2:56">
      <c r="B13" s="32" t="s">
        <v>130</v>
      </c>
      <c r="C13" s="34"/>
      <c r="D13" s="34">
        <f t="shared" ref="D13:I13" si="25">D12/D9</f>
        <v>0.66639188945749572</v>
      </c>
      <c r="E13" s="34">
        <f t="shared" si="25"/>
        <v>0.73450932497579924</v>
      </c>
      <c r="F13" s="34">
        <f t="shared" si="25"/>
        <v>0.35896228264799668</v>
      </c>
      <c r="G13" s="34">
        <f t="shared" si="25"/>
        <v>0.29767416525954571</v>
      </c>
      <c r="H13" s="34">
        <f t="shared" si="25"/>
        <v>0.44500614838092634</v>
      </c>
      <c r="I13" s="34">
        <f t="shared" si="25"/>
        <v>0.65896549186961961</v>
      </c>
      <c r="J13" s="34">
        <f t="shared" ref="J13:K13" si="26">J12/J9</f>
        <v>0.41583605030274801</v>
      </c>
      <c r="K13" s="34">
        <f t="shared" si="26"/>
        <v>0.46649350649350652</v>
      </c>
      <c r="L13" s="87"/>
      <c r="M13" s="34">
        <f t="shared" ref="M13:N13" si="27">M12/M9</f>
        <v>0.41583605030274801</v>
      </c>
      <c r="N13" s="34">
        <f t="shared" si="27"/>
        <v>0.46649350649350652</v>
      </c>
      <c r="O13" s="10"/>
      <c r="P13" s="34">
        <f t="shared" ref="P13:AS13" si="28">P12/P9</f>
        <v>0.99128237953086851</v>
      </c>
      <c r="Q13" s="34">
        <f t="shared" si="28"/>
        <v>0.83014914926574601</v>
      </c>
      <c r="R13" s="34">
        <f t="shared" si="28"/>
        <v>0.770153931650297</v>
      </c>
      <c r="S13" s="34">
        <f t="shared" si="28"/>
        <v>0.66639188945749572</v>
      </c>
      <c r="T13" s="34">
        <f t="shared" si="28"/>
        <v>0.63153478624085824</v>
      </c>
      <c r="U13" s="34">
        <f t="shared" si="28"/>
        <v>0.42414092100541312</v>
      </c>
      <c r="V13" s="34">
        <f t="shared" si="28"/>
        <v>0.64800810501723627</v>
      </c>
      <c r="W13" s="34">
        <f t="shared" si="28"/>
        <v>0.73450932497579924</v>
      </c>
      <c r="X13" s="34">
        <f t="shared" si="28"/>
        <v>0.49197826609668066</v>
      </c>
      <c r="Y13" s="34">
        <f t="shared" si="28"/>
        <v>0.37648485036727275</v>
      </c>
      <c r="Z13" s="34">
        <f t="shared" si="28"/>
        <v>0.43215777864419408</v>
      </c>
      <c r="AA13" s="34">
        <f t="shared" si="28"/>
        <v>0.35896228264799668</v>
      </c>
      <c r="AB13" s="34">
        <f t="shared" si="28"/>
        <v>0.29091579409865576</v>
      </c>
      <c r="AC13" s="34">
        <f t="shared" si="28"/>
        <v>0.3140002893300235</v>
      </c>
      <c r="AD13" s="34">
        <f t="shared" si="28"/>
        <v>0.32440918932132068</v>
      </c>
      <c r="AE13" s="34">
        <f t="shared" si="28"/>
        <v>0.29767416525954571</v>
      </c>
      <c r="AF13" s="34">
        <f t="shared" si="28"/>
        <v>0.37314347764909378</v>
      </c>
      <c r="AG13" s="34">
        <f t="shared" si="28"/>
        <v>0.34296426996029994</v>
      </c>
      <c r="AH13" s="34">
        <f t="shared" si="28"/>
        <v>0.32802645746808184</v>
      </c>
      <c r="AI13" s="34">
        <f t="shared" si="28"/>
        <v>0.44500614838092634</v>
      </c>
      <c r="AJ13" s="34">
        <f t="shared" si="28"/>
        <v>0.61546429093638222</v>
      </c>
      <c r="AK13" s="34">
        <f t="shared" si="28"/>
        <v>0.42747897017588582</v>
      </c>
      <c r="AL13" s="34">
        <f t="shared" si="28"/>
        <v>0.66564092177175316</v>
      </c>
      <c r="AM13" s="34">
        <f t="shared" si="28"/>
        <v>0.65896549186961961</v>
      </c>
      <c r="AN13" s="34">
        <f t="shared" si="28"/>
        <v>0.45548726701233577</v>
      </c>
      <c r="AO13" s="34">
        <f t="shared" si="28"/>
        <v>0.53628604558463921</v>
      </c>
      <c r="AP13" s="34">
        <f t="shared" si="28"/>
        <v>0.60588893269679311</v>
      </c>
      <c r="AQ13" s="34">
        <f t="shared" si="28"/>
        <v>0.41583605030274801</v>
      </c>
      <c r="AR13" s="34">
        <f t="shared" si="28"/>
        <v>0.21353906390365118</v>
      </c>
      <c r="AS13" s="34">
        <f t="shared" si="28"/>
        <v>0.21641330912026063</v>
      </c>
      <c r="AT13" s="34">
        <f t="shared" ref="AT13:AU13" si="29">AT12/AT9</f>
        <v>0.28604228451162345</v>
      </c>
      <c r="AU13" s="34">
        <f t="shared" si="29"/>
        <v>0.46649350649350652</v>
      </c>
      <c r="AV13" s="87"/>
      <c r="AW13" s="34">
        <f t="shared" ref="AW13:BB13" si="30">AW12/AW9</f>
        <v>0.45548726701233577</v>
      </c>
      <c r="AX13" s="34">
        <f t="shared" si="30"/>
        <v>0.53626943005181349</v>
      </c>
      <c r="AY13" s="34">
        <f t="shared" si="30"/>
        <v>0.60588893269679311</v>
      </c>
      <c r="AZ13" s="34">
        <f t="shared" si="30"/>
        <v>0.41583605030274801</v>
      </c>
      <c r="BA13" s="34">
        <f t="shared" si="30"/>
        <v>0.21353906390365118</v>
      </c>
      <c r="BB13" s="34">
        <f t="shared" si="30"/>
        <v>0.21641330912026063</v>
      </c>
      <c r="BC13" s="34">
        <f t="shared" ref="BC13:BD13" si="31">BC12/BC9</f>
        <v>0.28604228451162345</v>
      </c>
      <c r="BD13" s="34">
        <f t="shared" si="31"/>
        <v>0.46649350649350652</v>
      </c>
    </row>
    <row r="14" spans="2:56">
      <c r="B14" s="18" t="s">
        <v>180</v>
      </c>
      <c r="C14" s="8"/>
      <c r="D14" s="8">
        <f>'Financial Position'!D24</f>
        <v>1631.2909999999999</v>
      </c>
      <c r="E14" s="8">
        <f>'Financial Position'!E24</f>
        <v>859.90200000000004</v>
      </c>
      <c r="F14" s="8">
        <f>'Financial Position'!F24</f>
        <v>1670.0350000000001</v>
      </c>
      <c r="G14" s="8">
        <f>'Financial Position'!G24</f>
        <v>1934</v>
      </c>
      <c r="H14" s="8">
        <f>'Financial Position'!H24</f>
        <v>2445</v>
      </c>
      <c r="I14" s="8">
        <f>'Financial Position'!I24</f>
        <v>3155</v>
      </c>
      <c r="J14" s="8">
        <f>'Financial Position'!J24</f>
        <v>3335</v>
      </c>
      <c r="K14" s="8">
        <f>'Financial Position'!K24</f>
        <v>1769</v>
      </c>
      <c r="M14" s="8">
        <f>'Financial Position'!M24</f>
        <v>3335</v>
      </c>
      <c r="N14" s="8">
        <f>'Financial Position'!N24</f>
        <v>1769</v>
      </c>
      <c r="O14" s="10"/>
      <c r="P14" s="8">
        <f>'Financial Position'!P24</f>
        <v>822.154</v>
      </c>
      <c r="Q14" s="8">
        <f>'Financial Position'!Q24</f>
        <v>645.21199999999999</v>
      </c>
      <c r="R14" s="8">
        <f>'Financial Position'!R24</f>
        <v>1258.047</v>
      </c>
      <c r="S14" s="8">
        <f>'Financial Position'!S24</f>
        <v>1631.2909999999999</v>
      </c>
      <c r="T14" s="8">
        <f>'Financial Position'!T24</f>
        <v>583.40700000000004</v>
      </c>
      <c r="U14" s="8">
        <f>'Financial Position'!U24</f>
        <v>485.84300000000002</v>
      </c>
      <c r="V14" s="8">
        <f>'Financial Position'!V24</f>
        <v>584.66999999999996</v>
      </c>
      <c r="W14" s="8">
        <f>'Financial Position'!W24</f>
        <v>859.90200000000004</v>
      </c>
      <c r="X14" s="8">
        <f>'Financial Position'!X24</f>
        <v>2031.46</v>
      </c>
      <c r="Y14" s="8">
        <f>'Financial Position'!Y24</f>
        <v>847.53200000000004</v>
      </c>
      <c r="Z14" s="8">
        <f>'Financial Position'!Z24</f>
        <v>665.51700000000005</v>
      </c>
      <c r="AA14" s="8">
        <f>'Financial Position'!AA24</f>
        <v>1670.0350000000001</v>
      </c>
      <c r="AB14" s="8">
        <f>'Financial Position'!AB24</f>
        <v>534.49300000000005</v>
      </c>
      <c r="AC14" s="8">
        <f>'Financial Position'!AC24</f>
        <v>533.04200000000003</v>
      </c>
      <c r="AD14" s="8">
        <f>'Financial Position'!AD24</f>
        <v>1813.152</v>
      </c>
      <c r="AE14" s="8">
        <f>'Financial Position'!AE24</f>
        <v>1934</v>
      </c>
      <c r="AF14" s="8">
        <f>'Financial Position'!AF24</f>
        <v>950</v>
      </c>
      <c r="AG14" s="8">
        <f>'Financial Position'!AG24</f>
        <v>612</v>
      </c>
      <c r="AH14" s="8">
        <f>'Financial Position'!AH24</f>
        <v>455</v>
      </c>
      <c r="AI14" s="8">
        <f>'Financial Position'!AI24</f>
        <v>2445</v>
      </c>
      <c r="AJ14" s="8">
        <f>'Financial Position'!AJ24</f>
        <v>524.03099999999995</v>
      </c>
      <c r="AK14" s="8">
        <f>'Financial Position'!AK24</f>
        <v>545</v>
      </c>
      <c r="AL14" s="8">
        <f>'Financial Position'!AL24</f>
        <v>1244.384</v>
      </c>
      <c r="AM14" s="8">
        <f>'Financial Position'!AM24</f>
        <v>3155</v>
      </c>
      <c r="AN14" s="8">
        <f>'Financial Position'!AN24</f>
        <v>964.88099999999997</v>
      </c>
      <c r="AO14" s="8">
        <f>'Financial Position'!AO24</f>
        <v>784.96199999999999</v>
      </c>
      <c r="AP14" s="8">
        <f>'Financial Position'!AP24</f>
        <v>1478.9860000000001</v>
      </c>
      <c r="AQ14" s="8">
        <f>'Financial Position'!AQ24</f>
        <v>3335</v>
      </c>
      <c r="AR14" s="8">
        <f>'Financial Position'!AR24</f>
        <v>1339.171</v>
      </c>
      <c r="AS14" s="8">
        <f>'Financial Position'!AS24</f>
        <v>1317.7439999999999</v>
      </c>
      <c r="AT14" s="8">
        <f>'Financial Position'!AT24</f>
        <v>717</v>
      </c>
      <c r="AU14" s="8">
        <f>'Financial Position'!AU24</f>
        <v>1769</v>
      </c>
      <c r="AW14" s="8">
        <f>'Financial Position'!AW24</f>
        <v>964.88099999999997</v>
      </c>
      <c r="AX14" s="8">
        <f>'Financial Position'!AX24</f>
        <v>785</v>
      </c>
      <c r="AY14" s="8">
        <f>'Financial Position'!AY24</f>
        <v>1478.9860000000001</v>
      </c>
      <c r="AZ14" s="8">
        <f>'Financial Position'!AZ24</f>
        <v>3335</v>
      </c>
      <c r="BA14" s="8">
        <f>'Financial Position'!BA24</f>
        <v>1339.171</v>
      </c>
      <c r="BB14" s="8">
        <f>'Financial Position'!BB24</f>
        <v>1317.7439999999999</v>
      </c>
      <c r="BC14" s="8">
        <f>'Financial Position'!BC24</f>
        <v>717</v>
      </c>
      <c r="BD14" s="8">
        <f>'Financial Position'!BD24</f>
        <v>1769</v>
      </c>
    </row>
    <row r="15" spans="2:56">
      <c r="B15" s="18" t="s">
        <v>131</v>
      </c>
      <c r="C15" s="8"/>
      <c r="D15" s="8">
        <f t="shared" ref="D15:I15" si="32">D9-D14</f>
        <v>1366.289</v>
      </c>
      <c r="E15" s="8">
        <f t="shared" si="32"/>
        <v>5062.4189999999999</v>
      </c>
      <c r="F15" s="8">
        <f t="shared" si="32"/>
        <v>8045.9439999999995</v>
      </c>
      <c r="G15" s="8">
        <f t="shared" si="32"/>
        <v>16425</v>
      </c>
      <c r="H15" s="8">
        <f t="shared" si="32"/>
        <v>12193</v>
      </c>
      <c r="I15" s="8">
        <f t="shared" si="32"/>
        <v>10436</v>
      </c>
      <c r="J15" s="8">
        <f>J9-J14</f>
        <v>18135</v>
      </c>
      <c r="K15" s="8">
        <f>K9-K14</f>
        <v>17481</v>
      </c>
      <c r="M15" s="8">
        <f>M9-M14</f>
        <v>18135</v>
      </c>
      <c r="N15" s="8">
        <f>N9-N14</f>
        <v>17481</v>
      </c>
      <c r="O15" s="10"/>
      <c r="P15" s="8">
        <f t="shared" ref="P15:AS15" si="33">P9-P14</f>
        <v>3061.7040000000002</v>
      </c>
      <c r="Q15" s="8">
        <f t="shared" si="33"/>
        <v>3209.5170000000003</v>
      </c>
      <c r="R15" s="8">
        <f t="shared" si="33"/>
        <v>2988.6430000000005</v>
      </c>
      <c r="S15" s="8">
        <f t="shared" si="33"/>
        <v>1366.289</v>
      </c>
      <c r="T15" s="8">
        <f t="shared" si="33"/>
        <v>2691.6809999999996</v>
      </c>
      <c r="U15" s="8">
        <f t="shared" si="33"/>
        <v>2225.5200000000004</v>
      </c>
      <c r="V15" s="8">
        <f t="shared" si="33"/>
        <v>6128.2089999999998</v>
      </c>
      <c r="W15" s="8">
        <f t="shared" si="33"/>
        <v>5062.4189999999999</v>
      </c>
      <c r="X15" s="8">
        <f t="shared" si="33"/>
        <v>6810.3939999999993</v>
      </c>
      <c r="Y15" s="8">
        <f t="shared" si="33"/>
        <v>7652.1459999999997</v>
      </c>
      <c r="Z15" s="8">
        <f t="shared" si="33"/>
        <v>6739.1860000000006</v>
      </c>
      <c r="AA15" s="8">
        <f t="shared" si="33"/>
        <v>8045.9439999999995</v>
      </c>
      <c r="AB15" s="8">
        <f t="shared" si="33"/>
        <v>11446.234999999999</v>
      </c>
      <c r="AC15" s="8">
        <f t="shared" si="33"/>
        <v>12987.85</v>
      </c>
      <c r="AD15" s="8">
        <f t="shared" si="33"/>
        <v>16514.207999999999</v>
      </c>
      <c r="AE15" s="8">
        <f t="shared" si="33"/>
        <v>16425</v>
      </c>
      <c r="AF15" s="8">
        <f t="shared" si="33"/>
        <v>12624.170000000002</v>
      </c>
      <c r="AG15" s="8">
        <f t="shared" si="33"/>
        <v>12990</v>
      </c>
      <c r="AH15" s="8">
        <f t="shared" si="33"/>
        <v>12547</v>
      </c>
      <c r="AI15" s="8">
        <f t="shared" si="33"/>
        <v>12193</v>
      </c>
      <c r="AJ15" s="8">
        <f t="shared" si="33"/>
        <v>15800.830000000002</v>
      </c>
      <c r="AK15" s="8">
        <f t="shared" si="33"/>
        <v>15147</v>
      </c>
      <c r="AL15" s="8">
        <f t="shared" si="33"/>
        <v>13784.369000000001</v>
      </c>
      <c r="AM15" s="8">
        <f t="shared" si="33"/>
        <v>10436</v>
      </c>
      <c r="AN15" s="8">
        <f t="shared" si="33"/>
        <v>16299.606000000002</v>
      </c>
      <c r="AO15" s="8">
        <f t="shared" si="33"/>
        <v>18901.186999999998</v>
      </c>
      <c r="AP15" s="8">
        <f t="shared" si="33"/>
        <v>16138.331999999999</v>
      </c>
      <c r="AQ15" s="8">
        <f t="shared" si="33"/>
        <v>18135</v>
      </c>
      <c r="AR15" s="8">
        <f t="shared" si="33"/>
        <v>23106.005000000001</v>
      </c>
      <c r="AS15" s="8">
        <f t="shared" si="33"/>
        <v>26175.944</v>
      </c>
      <c r="AT15" s="8">
        <f t="shared" ref="AT15:AU15" si="34">AT9-AT14</f>
        <v>20189</v>
      </c>
      <c r="AU15" s="8">
        <f t="shared" si="34"/>
        <v>17481</v>
      </c>
      <c r="AW15" s="8">
        <f t="shared" ref="AW15" si="35">AW9-AW14</f>
        <v>16299.606000000002</v>
      </c>
      <c r="AX15" s="8">
        <f t="shared" ref="AX15" si="36">AX9-AX14</f>
        <v>18901</v>
      </c>
      <c r="AY15" s="8">
        <f t="shared" ref="AY15" si="37">AY9-AY14</f>
        <v>16138.331999999999</v>
      </c>
      <c r="AZ15" s="8">
        <f t="shared" ref="AZ15" si="38">AZ9-AZ14</f>
        <v>18135</v>
      </c>
      <c r="BA15" s="8">
        <f t="shared" ref="BA15" si="39">BA9-BA14</f>
        <v>23106.005000000001</v>
      </c>
      <c r="BB15" s="8">
        <f t="shared" ref="BB15:BC15" si="40">BB9-BB14</f>
        <v>26175.944</v>
      </c>
      <c r="BC15" s="8">
        <f t="shared" si="40"/>
        <v>20189</v>
      </c>
      <c r="BD15" s="8">
        <f t="shared" ref="BD15" si="41">BD9-BD14</f>
        <v>17481</v>
      </c>
    </row>
    <row r="16" spans="2:56">
      <c r="B16" s="33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W16" s="11"/>
      <c r="AX16" s="11"/>
      <c r="AY16" s="11"/>
      <c r="AZ16" s="11"/>
      <c r="BA16" s="11"/>
      <c r="BB16" s="11"/>
      <c r="BC16" s="11"/>
      <c r="BD16" s="11"/>
    </row>
    <row r="17" spans="2:56">
      <c r="B17" s="18" t="s">
        <v>72</v>
      </c>
      <c r="C17" s="8"/>
      <c r="D17" s="8">
        <f>'Financial Position'!D47+'Financial Position'!D40</f>
        <v>0</v>
      </c>
      <c r="E17" s="8">
        <f>'Financial Position'!E47+'Financial Position'!E40</f>
        <v>0</v>
      </c>
      <c r="F17" s="8">
        <f>'Financial Position'!F47+'Financial Position'!F40</f>
        <v>0</v>
      </c>
      <c r="G17" s="8">
        <f>'Financial Position'!G47+'Financial Position'!G40</f>
        <v>0</v>
      </c>
      <c r="H17" s="8">
        <f>'Financial Position'!H47+'Financial Position'!H40</f>
        <v>0</v>
      </c>
      <c r="I17" s="8">
        <f>'Financial Position'!I47+'Financial Position'!I40</f>
        <v>0</v>
      </c>
      <c r="J17" s="8">
        <f>'Financial Position'!J47+'Financial Position'!J40</f>
        <v>0</v>
      </c>
      <c r="K17" s="8">
        <f>'Financial Position'!K47+'Financial Position'!K40</f>
        <v>0</v>
      </c>
      <c r="M17" s="8">
        <f>'Financial Position'!M47+'Financial Position'!M40</f>
        <v>30546</v>
      </c>
      <c r="N17" s="8">
        <f>'Financial Position'!N47+'Financial Position'!N40</f>
        <v>34780</v>
      </c>
      <c r="O17" s="10"/>
      <c r="P17" s="8">
        <f>'Financial Position'!P47+'Financial Position'!P40</f>
        <v>0</v>
      </c>
      <c r="Q17" s="8">
        <f>'Financial Position'!Q47+'Financial Position'!Q40</f>
        <v>0</v>
      </c>
      <c r="R17" s="8">
        <f>'Financial Position'!R47+'Financial Position'!R40</f>
        <v>0</v>
      </c>
      <c r="S17" s="8">
        <f>'Financial Position'!S47+'Financial Position'!S40</f>
        <v>0</v>
      </c>
      <c r="T17" s="8">
        <f>'Financial Position'!T47+'Financial Position'!T40</f>
        <v>0</v>
      </c>
      <c r="U17" s="8">
        <f>'Financial Position'!U47+'Financial Position'!U40</f>
        <v>0</v>
      </c>
      <c r="V17" s="8">
        <f>'Financial Position'!V47+'Financial Position'!V40</f>
        <v>0</v>
      </c>
      <c r="W17" s="8">
        <f>'Financial Position'!W47+'Financial Position'!W40</f>
        <v>0</v>
      </c>
      <c r="X17" s="8">
        <f>'Financial Position'!X47+'Financial Position'!X40</f>
        <v>0</v>
      </c>
      <c r="Y17" s="8">
        <f>'Financial Position'!Y47+'Financial Position'!Y40</f>
        <v>0</v>
      </c>
      <c r="Z17" s="8">
        <f>'Financial Position'!Z47+'Financial Position'!Z40</f>
        <v>0</v>
      </c>
      <c r="AA17" s="8">
        <f>'Financial Position'!AA47+'Financial Position'!AA40</f>
        <v>0</v>
      </c>
      <c r="AB17" s="8">
        <f>'Financial Position'!AB47+'Financial Position'!AB40</f>
        <v>0</v>
      </c>
      <c r="AC17" s="8">
        <f>'Financial Position'!AC47+'Financial Position'!AC40</f>
        <v>0</v>
      </c>
      <c r="AD17" s="8">
        <f>'Financial Position'!AD47+'Financial Position'!AD40</f>
        <v>0</v>
      </c>
      <c r="AE17" s="8">
        <f>'Financial Position'!AE47+'Financial Position'!AE40</f>
        <v>0</v>
      </c>
      <c r="AF17" s="8">
        <f>'Financial Position'!AF47+'Financial Position'!AF40</f>
        <v>0</v>
      </c>
      <c r="AG17" s="8">
        <f>'Financial Position'!AG47+'Financial Position'!AG40</f>
        <v>0</v>
      </c>
      <c r="AH17" s="8">
        <f>'Financial Position'!AH47+'Financial Position'!AH40</f>
        <v>0</v>
      </c>
      <c r="AI17" s="8">
        <f>'Financial Position'!AI47+'Financial Position'!AI40</f>
        <v>0</v>
      </c>
      <c r="AJ17" s="8">
        <f>'Financial Position'!AJ47+'Financial Position'!AJ40</f>
        <v>0</v>
      </c>
      <c r="AK17" s="8">
        <f>'Financial Position'!AK47+'Financial Position'!AK40</f>
        <v>0</v>
      </c>
      <c r="AL17" s="8">
        <f>'Financial Position'!AL47+'Financial Position'!AL40</f>
        <v>0</v>
      </c>
      <c r="AM17" s="8">
        <f>'Financial Position'!AM47+'Financial Position'!AM40</f>
        <v>0</v>
      </c>
      <c r="AN17" s="8">
        <f>'Financial Position'!AN47+'Financial Position'!AN40</f>
        <v>0</v>
      </c>
      <c r="AO17" s="8">
        <f>'Financial Position'!AO47+'Financial Position'!AO40</f>
        <v>0</v>
      </c>
      <c r="AP17" s="8">
        <f>'Financial Position'!AP47+'Financial Position'!AP40</f>
        <v>0</v>
      </c>
      <c r="AQ17" s="8">
        <f>'Financial Position'!AQ47+'Financial Position'!AQ40</f>
        <v>0</v>
      </c>
      <c r="AR17" s="8">
        <f>'Financial Position'!AR47+'Financial Position'!AR40</f>
        <v>0</v>
      </c>
      <c r="AS17" s="8">
        <f>'Financial Position'!AS47+'Financial Position'!AS40</f>
        <v>0</v>
      </c>
      <c r="AT17" s="8">
        <f>'Financial Position'!AT47+'Financial Position'!AT40</f>
        <v>0</v>
      </c>
      <c r="AU17" s="8">
        <f>'Financial Position'!AU47+'Financial Position'!AU40</f>
        <v>0</v>
      </c>
      <c r="AW17" s="8">
        <f>'Financial Position'!AW47+'Financial Position'!AW40</f>
        <v>30596.753000000001</v>
      </c>
      <c r="AX17" s="8">
        <f>'Financial Position'!AX47+'Financial Position'!AX40</f>
        <v>32732</v>
      </c>
      <c r="AY17" s="8">
        <f>'Financial Position'!AY47+'Financial Position'!AY40</f>
        <v>30152.37</v>
      </c>
      <c r="AZ17" s="8">
        <f>'Financial Position'!AZ47+'Financial Position'!AZ40</f>
        <v>30546</v>
      </c>
      <c r="BA17" s="8">
        <f>'Financial Position'!BA47+'Financial Position'!BA40</f>
        <v>33211.455000000002</v>
      </c>
      <c r="BB17" s="8">
        <f>'Financial Position'!BB47+'Financial Position'!BB40</f>
        <v>31390</v>
      </c>
      <c r="BC17" s="8">
        <f>'Financial Position'!BC47+'Financial Position'!BC40</f>
        <v>31710</v>
      </c>
      <c r="BD17" s="8">
        <f>'Financial Position'!BD47+'Financial Position'!BD40</f>
        <v>34780</v>
      </c>
    </row>
    <row r="18" spans="2:56">
      <c r="B18" s="25"/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W18" s="10"/>
      <c r="AX18" s="10"/>
      <c r="AY18" s="10"/>
      <c r="AZ18" s="10"/>
      <c r="BA18" s="10"/>
      <c r="BB18" s="10"/>
      <c r="BC18" s="10"/>
      <c r="BD18" s="10"/>
    </row>
    <row r="19" spans="2:56">
      <c r="B19" s="35" t="s">
        <v>132</v>
      </c>
      <c r="C19" s="37"/>
      <c r="D19" s="37">
        <f>D15/EBITDA!D17</f>
        <v>0.81215466586773732</v>
      </c>
      <c r="E19" s="37">
        <f>E15/EBITDA!E17</f>
        <v>1.8267679823420981</v>
      </c>
      <c r="F19" s="37">
        <f>F15/EBITDA!F17</f>
        <v>1.6386991181758357</v>
      </c>
      <c r="G19" s="37">
        <f>G15/EBITDA!G17</f>
        <v>3.20675517376025</v>
      </c>
      <c r="H19" s="37">
        <f>H15/EBITDA!H17</f>
        <v>1.4878584502745578</v>
      </c>
      <c r="I19" s="37">
        <f>I15/EBITDA!I17</f>
        <v>1.0603535866693761</v>
      </c>
      <c r="J19" s="37">
        <f>J15/EBITDA!J17</f>
        <v>1.5261297652108055</v>
      </c>
      <c r="K19" s="37">
        <f>K15/EBITDA!K17</f>
        <v>1.2643570085346449</v>
      </c>
      <c r="M19" s="37"/>
      <c r="N19" s="37"/>
      <c r="O19" s="10"/>
      <c r="P19" s="37"/>
      <c r="Q19" s="37"/>
      <c r="R19" s="37"/>
      <c r="S19" s="37">
        <f>S15/SUM(EBITDA!P17:S17)</f>
        <v>0.81215466586773721</v>
      </c>
      <c r="T19" s="37">
        <f>T15/SUM(EBITDA!Q17:T17)</f>
        <v>1.6104349910267379</v>
      </c>
      <c r="U19" s="37">
        <f>U15/SUM(EBITDA!R17:U17)</f>
        <v>1.1095199348984777</v>
      </c>
      <c r="V19" s="37">
        <f>V15/SUM(EBITDA!S17:V17)</f>
        <v>2.4649657965518701</v>
      </c>
      <c r="W19" s="37">
        <f>W15/SUM(EBITDA!T17:W17)</f>
        <v>1.8267679823420981</v>
      </c>
      <c r="X19" s="37">
        <f>X15/SUM(EBITDA!U17:X17)</f>
        <v>2.0650785903763356</v>
      </c>
      <c r="Y19" s="37">
        <f>Y15/SUM(EBITDA!V17:Y17)</f>
        <v>2.108212539780737</v>
      </c>
      <c r="Z19" s="37">
        <f>Z15/SUM(EBITDA!W17:Z17)</f>
        <v>1.648044031539885</v>
      </c>
      <c r="AA19" s="37">
        <f>AA15/SUM(EBITDA!X17:AA17)</f>
        <v>1.6386991181758357</v>
      </c>
      <c r="AB19" s="37">
        <f>AB15/SUM(EBITDA!Y17:AB17)</f>
        <v>2.0690596611891183</v>
      </c>
      <c r="AC19" s="37">
        <f>AC15/SUM(EBITDA!Z17:AC17)</f>
        <v>2.3495257087584918</v>
      </c>
      <c r="AD19" s="37">
        <f>AD15/SUM(EBITDA!AA17:AD17)</f>
        <v>2.9557951896727404</v>
      </c>
      <c r="AE19" s="37">
        <f>AE15/SUM(EBITDA!AB17:AE17)</f>
        <v>3.20675517376025</v>
      </c>
      <c r="AF19" s="37">
        <f>AF15/SUM(EBITDA!AC17:AF17)</f>
        <v>2.4097861517967742</v>
      </c>
      <c r="AG19" s="37">
        <f>AG15/SUM(EBITDA!AD17:AG17)</f>
        <v>2.0897970471154572</v>
      </c>
      <c r="AH19" s="37">
        <f>AH15/SUM(EBITDA!AE17:AH17)</f>
        <v>1.8437913299044819</v>
      </c>
      <c r="AI19" s="37">
        <f>AI15/SUM(EBITDA!AF17:AI17)</f>
        <v>1.4878584502745578</v>
      </c>
      <c r="AJ19" s="37">
        <f>AJ15/SUM(EBITDA!AG17:AJ17)</f>
        <v>1.9230738277013584</v>
      </c>
      <c r="AK19" s="37">
        <f>AK15/SUM(EBITDA!AH17:AK17)</f>
        <v>1.7269242435680567</v>
      </c>
      <c r="AL19" s="37">
        <f>AL15/SUM(EBITDA!AI17:AL17)</f>
        <v>1.4910664638794286</v>
      </c>
      <c r="AM19" s="37">
        <f>AM15/SUM(EBITDA!AJ17:AM17)</f>
        <v>1.0603535866693761</v>
      </c>
      <c r="AN19" s="37">
        <f>AN15/SUM(EBITDA!AK17:AN17)</f>
        <v>1.5810183389055104</v>
      </c>
      <c r="AO19" s="37">
        <f>AO15/SUM(EBITDA!AL17:AO17)</f>
        <v>1.7209775861110028</v>
      </c>
      <c r="AP19" s="37">
        <f>AP15/SUM(EBITDA!AM17:AP17)</f>
        <v>1.3695321720022291</v>
      </c>
      <c r="AQ19" s="37">
        <f>AQ15/SUM(EBITDA!AN17:AQ17)</f>
        <v>1.5261297652108055</v>
      </c>
      <c r="AR19" s="37">
        <f>AR15/SUM(EBITDA!AO17:AR17)</f>
        <v>1.8885320169018014</v>
      </c>
      <c r="AS19" s="37">
        <f>AS15/SUM(EBITDA!AP17:AS17)</f>
        <v>2.0501210830066152</v>
      </c>
      <c r="AT19" s="37">
        <f>AT15/SUM(EBITDA!AQ17:AT17)</f>
        <v>1.5116049156879685</v>
      </c>
      <c r="AU19" s="37">
        <f>AU15/SUM(EBITDA!AR17:AU17)</f>
        <v>1.2643570085346449</v>
      </c>
      <c r="AW19" s="37"/>
      <c r="AX19" s="37"/>
      <c r="AY19" s="37"/>
      <c r="AZ19" s="37"/>
      <c r="BA19" s="37"/>
      <c r="BB19" s="37"/>
      <c r="BC19" s="37"/>
      <c r="BD19" s="37"/>
    </row>
    <row r="20" spans="2:56">
      <c r="B20" s="36" t="s">
        <v>142</v>
      </c>
      <c r="C20" s="38"/>
      <c r="D20" s="38">
        <f>D15/EBITDA!D20</f>
        <v>0.80280684428688542</v>
      </c>
      <c r="E20" s="38">
        <f>E15/EBITDA!E20</f>
        <v>1.8267679823420981</v>
      </c>
      <c r="F20" s="38">
        <f>F15/EBITDA!F20</f>
        <v>1.4301464505462056</v>
      </c>
      <c r="G20" s="38">
        <f>G15/EBITDA!G20</f>
        <v>2.6560478654592496</v>
      </c>
      <c r="H20" s="38">
        <f>H15/EBITDA!H20</f>
        <v>1.4864074119224673</v>
      </c>
      <c r="I20" s="38">
        <f>I15/EBITDA!I20</f>
        <v>0.97871143205476885</v>
      </c>
      <c r="J20" s="38">
        <f>J15/EBITDA!J20</f>
        <v>1.431785883467551</v>
      </c>
      <c r="K20" s="38">
        <f>K15/EBITDA!K20</f>
        <v>1.1871646859083191</v>
      </c>
      <c r="M20" s="38"/>
      <c r="N20" s="38"/>
      <c r="O20" s="10"/>
      <c r="P20" s="38"/>
      <c r="Q20" s="38"/>
      <c r="R20" s="38"/>
      <c r="S20" s="38">
        <f>S15/SUM(EBITDA!P20:S20)</f>
        <v>0.80280684428688531</v>
      </c>
      <c r="T20" s="38">
        <f>T15/SUM(EBITDA!Q20:T20)</f>
        <v>1.591779542103454</v>
      </c>
      <c r="U20" s="38">
        <f>U15/SUM(EBITDA!R20:U20)</f>
        <v>1.0987894030759955</v>
      </c>
      <c r="V20" s="38">
        <f>V15/SUM(EBITDA!S20:V20)</f>
        <v>2.4456957424935353</v>
      </c>
      <c r="W20" s="38">
        <f>W15/SUM(EBITDA!T20:W20)</f>
        <v>1.8267679823420981</v>
      </c>
      <c r="X20" s="38">
        <f>X15/SUM(EBITDA!U20:X20)</f>
        <v>2.0650785903763356</v>
      </c>
      <c r="Y20" s="38">
        <f>Y15/SUM(EBITDA!V20:Y20)</f>
        <v>2.108212539780737</v>
      </c>
      <c r="Z20" s="38">
        <f>Z15/SUM(EBITDA!W20:Z20)</f>
        <v>1.648044031539885</v>
      </c>
      <c r="AA20" s="38">
        <f>AA15/SUM(EBITDA!X20:AA20)</f>
        <v>1.4301464505462056</v>
      </c>
      <c r="AB20" s="38">
        <f>AB15/SUM(EBITDA!Y20:AB20)</f>
        <v>1.8319559244016732</v>
      </c>
      <c r="AC20" s="38">
        <f>AC15/SUM(EBITDA!Z20:AC20)</f>
        <v>2.0800993740959433</v>
      </c>
      <c r="AD20" s="38">
        <f>AD15/SUM(EBITDA!AA20:AD20)</f>
        <v>2.6084424119264153</v>
      </c>
      <c r="AE20" s="38">
        <f>AE15/SUM(EBITDA!AB20:AE20)</f>
        <v>2.6560478654592496</v>
      </c>
      <c r="AF20" s="38">
        <f>AF15/SUM(EBITDA!AC20:AF20)</f>
        <v>2.0036108112476492</v>
      </c>
      <c r="AG20" s="38">
        <f>AG15/SUM(EBITDA!AD20:AG20)</f>
        <v>1.7927343471015713</v>
      </c>
      <c r="AH20" s="38">
        <f>AH15/SUM(EBITDA!AE20:AH20)</f>
        <v>1.5826185671039354</v>
      </c>
      <c r="AI20" s="38">
        <f>AI15/SUM(EBITDA!AF20:AI20)</f>
        <v>1.4864074119224673</v>
      </c>
      <c r="AJ20" s="38">
        <f>AJ15/SUM(EBITDA!AG20:AJ20)</f>
        <v>1.8575127829292259</v>
      </c>
      <c r="AK20" s="38">
        <f>AK15/SUM(EBITDA!AH20:AK20)</f>
        <v>1.6550326353868092</v>
      </c>
      <c r="AL20" s="38">
        <f>AL15/SUM(EBITDA!AI20:AL20)</f>
        <v>1.3974934652961408</v>
      </c>
      <c r="AM20" s="38">
        <f>AM15/SUM(EBITDA!AJ20:AM20)</f>
        <v>0.97871143205476885</v>
      </c>
      <c r="AN20" s="38">
        <f>AN15/SUM(EBITDA!AK20:AN20)</f>
        <v>1.4823804869085864</v>
      </c>
      <c r="AO20" s="38">
        <f>AO15/SUM(EBITDA!AL20:AO20)</f>
        <v>1.6075417933634735</v>
      </c>
      <c r="AP20" s="38">
        <f>AP15/SUM(EBITDA!AM20:AP20)</f>
        <v>1.3097351768548915</v>
      </c>
      <c r="AQ20" s="38">
        <f>AQ15/SUM(EBITDA!AN20:AQ20)</f>
        <v>1.431785883467551</v>
      </c>
      <c r="AR20" s="38">
        <f>AR15/SUM(EBITDA!AO20:AR20)</f>
        <v>1.7638303100846822</v>
      </c>
      <c r="AS20" s="38">
        <f>AS15/SUM(EBITDA!AP20:AS20)</f>
        <v>1.9278204352072397</v>
      </c>
      <c r="AT20" s="38">
        <f>AT15/SUM(EBITDA!AQ20:AT20)</f>
        <v>1.4267841357063682</v>
      </c>
      <c r="AU20" s="38">
        <f>AU15/SUM(EBITDA!AR20:AU20)</f>
        <v>1.1871646859083191</v>
      </c>
      <c r="AW20" s="38"/>
      <c r="AX20" s="38"/>
      <c r="AY20" s="38"/>
      <c r="AZ20" s="38"/>
      <c r="BA20" s="38"/>
      <c r="BB20" s="38"/>
      <c r="BC20" s="38"/>
      <c r="BD20" s="38"/>
    </row>
    <row r="36" spans="2:2">
      <c r="B36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AV55"/>
  <sheetViews>
    <sheetView showGridLines="0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2" sqref="J12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10" width="10.21875" customWidth="1"/>
    <col min="11" max="11" width="10.21875" style="89" customWidth="1"/>
    <col min="12" max="12" width="32.109375" customWidth="1"/>
    <col min="13" max="48" width="9.33203125" customWidth="1"/>
  </cols>
  <sheetData>
    <row r="2" spans="2:48" ht="34.799999999999997">
      <c r="B2" s="118" t="str">
        <f>Content!B19</f>
        <v xml:space="preserve">Operating Results </v>
      </c>
    </row>
    <row r="3" spans="2:48" ht="16.8">
      <c r="B3" s="117" t="s">
        <v>0</v>
      </c>
    </row>
    <row r="4" spans="2:48">
      <c r="B4" s="119"/>
    </row>
    <row r="5" spans="2:48" ht="15" thickBot="1">
      <c r="B5" s="2"/>
    </row>
    <row r="6" spans="2:48" ht="15" thickTop="1">
      <c r="B6" s="121"/>
      <c r="C6" s="49"/>
      <c r="D6" s="4"/>
      <c r="E6" s="4"/>
      <c r="F6" s="4"/>
      <c r="G6" s="4"/>
      <c r="H6" s="4"/>
      <c r="I6" s="4"/>
      <c r="J6" s="4"/>
      <c r="K6" s="4"/>
      <c r="L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23" t="s">
        <v>185</v>
      </c>
    </row>
    <row r="7" spans="2:48" ht="15" thickBot="1">
      <c r="B7" s="122"/>
      <c r="C7" s="50" t="s">
        <v>157</v>
      </c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0">G7+1</f>
        <v>2016</v>
      </c>
      <c r="I7" s="3">
        <f t="shared" si="0"/>
        <v>2017</v>
      </c>
      <c r="J7" s="3">
        <v>2018</v>
      </c>
      <c r="K7" s="111">
        <v>2019</v>
      </c>
      <c r="L7" s="13"/>
      <c r="M7" s="3" t="s">
        <v>35</v>
      </c>
      <c r="N7" s="3" t="s">
        <v>36</v>
      </c>
      <c r="O7" s="3" t="s">
        <v>37</v>
      </c>
      <c r="P7" s="3" t="s">
        <v>38</v>
      </c>
      <c r="Q7" s="3" t="s">
        <v>10</v>
      </c>
      <c r="R7" s="3" t="s">
        <v>11</v>
      </c>
      <c r="S7" s="3" t="s">
        <v>12</v>
      </c>
      <c r="T7" s="3" t="s">
        <v>13</v>
      </c>
      <c r="U7" s="3" t="s">
        <v>14</v>
      </c>
      <c r="V7" s="3" t="s">
        <v>15</v>
      </c>
      <c r="W7" s="3" t="s">
        <v>16</v>
      </c>
      <c r="X7" s="3" t="s">
        <v>17</v>
      </c>
      <c r="Y7" s="3" t="s">
        <v>18</v>
      </c>
      <c r="Z7" s="3" t="s">
        <v>19</v>
      </c>
      <c r="AA7" s="3" t="s">
        <v>20</v>
      </c>
      <c r="AB7" s="3" t="s">
        <v>21</v>
      </c>
      <c r="AC7" s="3" t="s">
        <v>22</v>
      </c>
      <c r="AD7" s="3" t="s">
        <v>23</v>
      </c>
      <c r="AE7" s="3" t="s">
        <v>24</v>
      </c>
      <c r="AF7" s="3" t="s">
        <v>25</v>
      </c>
      <c r="AG7" s="3" t="s">
        <v>26</v>
      </c>
      <c r="AH7" s="3" t="s">
        <v>27</v>
      </c>
      <c r="AI7" s="3" t="s">
        <v>28</v>
      </c>
      <c r="AJ7" s="3" t="s">
        <v>29</v>
      </c>
      <c r="AK7" s="3" t="s">
        <v>47</v>
      </c>
      <c r="AL7" s="3" t="s">
        <v>48</v>
      </c>
      <c r="AM7" s="3" t="s">
        <v>49</v>
      </c>
      <c r="AN7" s="3" t="s">
        <v>50</v>
      </c>
      <c r="AO7" s="3" t="s">
        <v>167</v>
      </c>
      <c r="AP7" s="88" t="s">
        <v>168</v>
      </c>
      <c r="AQ7" s="88" t="s">
        <v>169</v>
      </c>
      <c r="AR7" s="88" t="s">
        <v>170</v>
      </c>
      <c r="AS7" s="88" t="s">
        <v>182</v>
      </c>
      <c r="AT7" s="88" t="s">
        <v>183</v>
      </c>
      <c r="AU7" s="3" t="s">
        <v>184</v>
      </c>
      <c r="AV7" s="124"/>
    </row>
    <row r="8" spans="2:48" ht="15" thickTop="1">
      <c r="B8" s="20"/>
      <c r="C8" s="11"/>
      <c r="D8" s="11"/>
      <c r="E8" s="11"/>
      <c r="F8" s="11"/>
      <c r="G8" s="11"/>
      <c r="H8" s="11"/>
      <c r="I8" s="11"/>
      <c r="J8" s="11"/>
      <c r="K8" s="11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2:48">
      <c r="B9" s="18" t="s">
        <v>146</v>
      </c>
      <c r="C9" s="44" t="s">
        <v>158</v>
      </c>
      <c r="D9" s="8">
        <f t="shared" ref="D9" si="1">D10+D11+D12</f>
        <v>27753.467387335986</v>
      </c>
      <c r="E9" s="8">
        <v>36000.927600343028</v>
      </c>
      <c r="F9" s="8">
        <v>45446.07894401066</v>
      </c>
      <c r="G9" s="8">
        <v>60544.273350380834</v>
      </c>
      <c r="H9" s="8">
        <v>79546.650804479257</v>
      </c>
      <c r="I9" s="8">
        <f>I10+I11+I12</f>
        <v>97003.452413720952</v>
      </c>
      <c r="J9" s="8">
        <f>J10+J11+J12</f>
        <v>110873.72505251878</v>
      </c>
      <c r="K9" s="8">
        <f>AR9+AQ9+AP9+AO9</f>
        <v>128764.43872423338</v>
      </c>
      <c r="L9" s="10"/>
      <c r="M9" s="8">
        <f>M10+M11+M12</f>
        <v>5262.7647826764996</v>
      </c>
      <c r="N9" s="8">
        <f t="shared" ref="N9:AR9" si="2">N10+N11+N12</f>
        <v>5385.8426343045221</v>
      </c>
      <c r="O9" s="8">
        <f t="shared" si="2"/>
        <v>7348.108558880208</v>
      </c>
      <c r="P9" s="8">
        <f t="shared" si="2"/>
        <v>9756.7514114747537</v>
      </c>
      <c r="Q9" s="8">
        <f t="shared" si="2"/>
        <v>6760.2419552599995</v>
      </c>
      <c r="R9" s="8">
        <f t="shared" si="2"/>
        <v>7530.7620706343632</v>
      </c>
      <c r="S9" s="8">
        <f t="shared" si="2"/>
        <v>9784.593021401748</v>
      </c>
      <c r="T9" s="8">
        <f t="shared" si="2"/>
        <v>11925.330381114918</v>
      </c>
      <c r="U9" s="8">
        <f t="shared" si="2"/>
        <v>9141.118412854019</v>
      </c>
      <c r="V9" s="8">
        <f t="shared" si="2"/>
        <v>8973.7346681416493</v>
      </c>
      <c r="W9" s="8">
        <f t="shared" si="2"/>
        <v>11678.990486490165</v>
      </c>
      <c r="X9" s="8">
        <f t="shared" si="2"/>
        <v>15652.23549028761</v>
      </c>
      <c r="Y9" s="8">
        <f t="shared" si="2"/>
        <v>12151.920226934102</v>
      </c>
      <c r="Z9" s="8">
        <f t="shared" si="2"/>
        <v>12592.36184410892</v>
      </c>
      <c r="AA9" s="8">
        <f t="shared" si="2"/>
        <v>15222.431356342775</v>
      </c>
      <c r="AB9" s="8">
        <f t="shared" si="2"/>
        <v>20577.559922998822</v>
      </c>
      <c r="AC9" s="8">
        <f t="shared" si="2"/>
        <v>16413.975255904803</v>
      </c>
      <c r="AD9" s="8">
        <f t="shared" si="2"/>
        <v>17321.745966756571</v>
      </c>
      <c r="AE9" s="8">
        <f t="shared" si="2"/>
        <v>20490.384560817987</v>
      </c>
      <c r="AF9" s="8">
        <f t="shared" si="2"/>
        <v>25320.545166209889</v>
      </c>
      <c r="AG9" s="8">
        <f t="shared" si="2"/>
        <v>21061.270285448471</v>
      </c>
      <c r="AH9" s="8">
        <f t="shared" si="2"/>
        <v>21034.339826247928</v>
      </c>
      <c r="AI9" s="8">
        <f t="shared" si="2"/>
        <v>24553.543162994876</v>
      </c>
      <c r="AJ9" s="8">
        <f t="shared" si="2"/>
        <v>30354.299139029663</v>
      </c>
      <c r="AK9" s="8">
        <f t="shared" si="2"/>
        <v>24019.609772539166</v>
      </c>
      <c r="AL9" s="8">
        <f t="shared" si="2"/>
        <v>24096.491553667816</v>
      </c>
      <c r="AM9" s="8">
        <f t="shared" si="2"/>
        <v>28449.476872708234</v>
      </c>
      <c r="AN9" s="8">
        <f t="shared" si="2"/>
        <v>34308.146853603568</v>
      </c>
      <c r="AO9" s="8">
        <f t="shared" si="2"/>
        <v>27885.82284090931</v>
      </c>
      <c r="AP9" s="8">
        <f t="shared" si="2"/>
        <v>28013.615883324066</v>
      </c>
      <c r="AQ9" s="8">
        <f t="shared" si="2"/>
        <v>33950</v>
      </c>
      <c r="AR9" s="8">
        <f t="shared" si="2"/>
        <v>38915</v>
      </c>
      <c r="AS9" s="8"/>
      <c r="AT9" s="8"/>
      <c r="AU9" s="8"/>
      <c r="AV9" s="8"/>
    </row>
    <row r="10" spans="2:48">
      <c r="B10" t="s">
        <v>163</v>
      </c>
      <c r="C10" s="41" t="s">
        <v>158</v>
      </c>
      <c r="D10" s="41">
        <v>26619.348725349999</v>
      </c>
      <c r="E10" s="41">
        <v>34383.233020710002</v>
      </c>
      <c r="F10" s="41">
        <v>43541.841368182657</v>
      </c>
      <c r="G10" s="41">
        <v>58812.940046989999</v>
      </c>
      <c r="H10" s="41">
        <v>77720.869805089998</v>
      </c>
      <c r="I10" s="41">
        <v>94739.968084995358</v>
      </c>
      <c r="J10" s="41">
        <v>107423.57434054214</v>
      </c>
      <c r="K10" s="41">
        <f>AR10+AQ10+AP10+AO10</f>
        <v>123550.2739782133</v>
      </c>
      <c r="L10" s="10"/>
      <c r="M10" s="41">
        <v>5090.3643785299992</v>
      </c>
      <c r="N10" s="41">
        <v>5202.2907783700002</v>
      </c>
      <c r="O10" s="41">
        <v>7056.4792515999998</v>
      </c>
      <c r="P10" s="41">
        <v>9270.2143168499988</v>
      </c>
      <c r="Q10" s="41">
        <v>6430.6074901499996</v>
      </c>
      <c r="R10" s="41">
        <v>7191.9369718500002</v>
      </c>
      <c r="S10" s="41">
        <v>9384.6736104933843</v>
      </c>
      <c r="T10" s="41">
        <v>11376.014948216618</v>
      </c>
      <c r="U10" s="41">
        <v>8760.6252381599988</v>
      </c>
      <c r="V10" s="41">
        <v>8593.9197634699995</v>
      </c>
      <c r="W10" s="41">
        <v>11224.242612460004</v>
      </c>
      <c r="X10" s="41">
        <v>14963.053754092651</v>
      </c>
      <c r="Y10" s="41">
        <v>11687.33562951</v>
      </c>
      <c r="Z10" s="41">
        <v>12261.344984169997</v>
      </c>
      <c r="AA10" s="41">
        <v>14828.453425786793</v>
      </c>
      <c r="AB10" s="41">
        <v>20035.806007523202</v>
      </c>
      <c r="AC10" s="41">
        <v>16048.992028830004</v>
      </c>
      <c r="AD10" s="41">
        <v>16947.7645182899</v>
      </c>
      <c r="AE10" s="41">
        <v>20061.714382890092</v>
      </c>
      <c r="AF10" s="41">
        <v>24662.398875080005</v>
      </c>
      <c r="AG10" s="41">
        <v>20636.800021785602</v>
      </c>
      <c r="AH10" s="41">
        <v>20606.911953604409</v>
      </c>
      <c r="AI10" s="41">
        <v>23967.207596739998</v>
      </c>
      <c r="AJ10" s="41">
        <v>29529.048512865349</v>
      </c>
      <c r="AK10" s="41">
        <v>23380.047268902126</v>
      </c>
      <c r="AL10" s="41">
        <v>23401.888858599999</v>
      </c>
      <c r="AM10" s="41">
        <v>27545.251090290007</v>
      </c>
      <c r="AN10" s="41">
        <v>33096.387122750006</v>
      </c>
      <c r="AO10" s="41">
        <v>26940.249293936562</v>
      </c>
      <c r="AP10" s="41">
        <v>27005.024684276737</v>
      </c>
      <c r="AQ10" s="41">
        <v>32504</v>
      </c>
      <c r="AR10" s="41">
        <v>37101</v>
      </c>
      <c r="AS10" s="41"/>
      <c r="AT10" s="41"/>
      <c r="AU10" s="41"/>
      <c r="AV10" s="41"/>
    </row>
    <row r="11" spans="2:48">
      <c r="B11" t="s">
        <v>148</v>
      </c>
      <c r="C11" s="10" t="s">
        <v>158</v>
      </c>
      <c r="D11" s="10">
        <v>204.505</v>
      </c>
      <c r="E11" s="10">
        <v>406.75813208102971</v>
      </c>
      <c r="F11" s="10">
        <v>503.28083509079329</v>
      </c>
      <c r="G11" s="10">
        <v>668.85851320192774</v>
      </c>
      <c r="H11" s="10">
        <v>763.01180046924901</v>
      </c>
      <c r="I11" s="10">
        <v>1356.455526129379</v>
      </c>
      <c r="J11" s="10">
        <v>2512.8073078315419</v>
      </c>
      <c r="K11" s="10">
        <f>AR11+AQ11+AP11+AO11</f>
        <v>3738.0638321914716</v>
      </c>
      <c r="L11" s="10"/>
      <c r="M11" s="10">
        <v>20.111000000000001</v>
      </c>
      <c r="N11" s="10">
        <v>29.042633724693001</v>
      </c>
      <c r="O11" s="10">
        <v>59.757886275307001</v>
      </c>
      <c r="P11" s="10">
        <v>95.593480000000014</v>
      </c>
      <c r="Q11" s="10">
        <v>89.498979999999989</v>
      </c>
      <c r="R11" s="10">
        <v>84.156223794363171</v>
      </c>
      <c r="S11" s="10">
        <v>99.751926226129854</v>
      </c>
      <c r="T11" s="10">
        <v>133.3510020605367</v>
      </c>
      <c r="U11" s="10">
        <v>105.85485</v>
      </c>
      <c r="V11" s="10">
        <v>93.182910664145396</v>
      </c>
      <c r="W11" s="10">
        <v>124.91729654100955</v>
      </c>
      <c r="X11" s="10">
        <v>179.3257778856383</v>
      </c>
      <c r="Y11" s="10">
        <v>150.86210116455797</v>
      </c>
      <c r="Z11" s="10">
        <v>131.35934963712944</v>
      </c>
      <c r="AA11" s="10">
        <v>185.70020664462098</v>
      </c>
      <c r="AB11" s="10">
        <v>200.9368557556194</v>
      </c>
      <c r="AC11" s="10">
        <v>154.11928307480079</v>
      </c>
      <c r="AD11" s="10">
        <v>146.03982592666691</v>
      </c>
      <c r="AE11" s="10">
        <v>194.31656857789494</v>
      </c>
      <c r="AF11" s="10">
        <v>268.53612288988631</v>
      </c>
      <c r="AG11" s="10">
        <v>228.65447022433241</v>
      </c>
      <c r="AH11" s="10">
        <v>268.49849795586312</v>
      </c>
      <c r="AI11" s="10">
        <v>378.69609531572087</v>
      </c>
      <c r="AJ11" s="10">
        <v>480.60646263346263</v>
      </c>
      <c r="AK11" s="10">
        <v>463.43051323703736</v>
      </c>
      <c r="AL11" s="10">
        <v>522.20912508781225</v>
      </c>
      <c r="AM11" s="10">
        <v>703.92834749822691</v>
      </c>
      <c r="AN11" s="10">
        <v>823.23932200846536</v>
      </c>
      <c r="AO11" s="10">
        <v>743.14586627429401</v>
      </c>
      <c r="AP11" s="10">
        <v>765.91796591717753</v>
      </c>
      <c r="AQ11" s="10">
        <v>1064</v>
      </c>
      <c r="AR11" s="10">
        <v>1165</v>
      </c>
      <c r="AS11" s="10"/>
      <c r="AT11" s="10"/>
      <c r="AU11" s="10"/>
      <c r="AV11" s="10"/>
    </row>
    <row r="12" spans="2:48">
      <c r="B12" s="40" t="s">
        <v>149</v>
      </c>
      <c r="C12" s="11" t="s">
        <v>158</v>
      </c>
      <c r="D12" s="11">
        <v>929.61366198598546</v>
      </c>
      <c r="E12" s="11">
        <v>1210.9362756199969</v>
      </c>
      <c r="F12" s="11">
        <v>1400.9568544999975</v>
      </c>
      <c r="G12" s="11">
        <v>1062.4747901926996</v>
      </c>
      <c r="H12" s="11">
        <v>1062.7693441300012</v>
      </c>
      <c r="I12" s="11">
        <v>907.02880259619997</v>
      </c>
      <c r="J12" s="11">
        <v>937.34340414510473</v>
      </c>
      <c r="K12" s="11">
        <f>AR12+AQ12+AP12+AO12</f>
        <v>1476.1009138286049</v>
      </c>
      <c r="L12" s="10"/>
      <c r="M12" s="11">
        <v>152.28940414650049</v>
      </c>
      <c r="N12" s="11">
        <v>154.50922220982889</v>
      </c>
      <c r="O12" s="11">
        <v>231.87142100490121</v>
      </c>
      <c r="P12" s="11">
        <v>390.9436146247549</v>
      </c>
      <c r="Q12" s="11">
        <v>240.13548510999985</v>
      </c>
      <c r="R12" s="11">
        <v>254.66887498999986</v>
      </c>
      <c r="S12" s="11">
        <v>300.16748468223386</v>
      </c>
      <c r="T12" s="11">
        <v>415.96443083776336</v>
      </c>
      <c r="U12" s="11">
        <v>274.63832469402013</v>
      </c>
      <c r="V12" s="11">
        <v>286.63199400750443</v>
      </c>
      <c r="W12" s="11">
        <v>329.83057748915172</v>
      </c>
      <c r="X12" s="11">
        <v>509.85595830932141</v>
      </c>
      <c r="Y12" s="11">
        <v>313.72249625954396</v>
      </c>
      <c r="Z12" s="11">
        <v>199.65751030179408</v>
      </c>
      <c r="AA12" s="11">
        <v>208.27772391136133</v>
      </c>
      <c r="AB12" s="11">
        <v>340.8170597200002</v>
      </c>
      <c r="AC12" s="11">
        <v>210.8639439999985</v>
      </c>
      <c r="AD12" s="11">
        <v>227.94162254000437</v>
      </c>
      <c r="AE12" s="11">
        <v>234.35360935000062</v>
      </c>
      <c r="AF12" s="11">
        <v>389.61016823999773</v>
      </c>
      <c r="AG12" s="11">
        <v>195.81579343853568</v>
      </c>
      <c r="AH12" s="11">
        <v>158.92937468765552</v>
      </c>
      <c r="AI12" s="11">
        <v>207.63947093915749</v>
      </c>
      <c r="AJ12" s="11">
        <v>344.64416353085124</v>
      </c>
      <c r="AK12" s="11">
        <v>176.13199040000285</v>
      </c>
      <c r="AL12" s="11">
        <v>172.39356998000471</v>
      </c>
      <c r="AM12" s="11">
        <v>200.29743492000011</v>
      </c>
      <c r="AN12" s="11">
        <v>388.52040884509699</v>
      </c>
      <c r="AO12" s="11">
        <v>202.42768069845386</v>
      </c>
      <c r="AP12" s="11">
        <v>242.67323313015117</v>
      </c>
      <c r="AQ12" s="11">
        <v>382</v>
      </c>
      <c r="AR12" s="11">
        <v>649</v>
      </c>
      <c r="AS12" s="11"/>
      <c r="AT12" s="11"/>
      <c r="AU12" s="11"/>
      <c r="AV12" s="11"/>
    </row>
    <row r="13" spans="2:48">
      <c r="B13" s="20"/>
      <c r="C13" s="11"/>
      <c r="D13" s="11"/>
      <c r="E13" s="11"/>
      <c r="F13" s="11"/>
      <c r="G13" s="11"/>
      <c r="H13" s="11"/>
      <c r="I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2:48">
      <c r="B14" s="18" t="s">
        <v>164</v>
      </c>
      <c r="C14" s="44" t="s">
        <v>158</v>
      </c>
      <c r="D14" s="8">
        <f>D16+D15</f>
        <v>126.66382999999999</v>
      </c>
      <c r="E14" s="8">
        <f>E16+E15</f>
        <v>227.31147152000003</v>
      </c>
      <c r="F14" s="8">
        <f>F16+F15</f>
        <v>443.20551220999999</v>
      </c>
      <c r="G14" s="8">
        <f t="shared" ref="G14:J14" si="3">G16+G15</f>
        <v>1260.0250183103235</v>
      </c>
      <c r="H14" s="8">
        <f t="shared" si="3"/>
        <v>2775.5340022544992</v>
      </c>
      <c r="I14" s="8">
        <f t="shared" si="3"/>
        <v>4636.7360367678421</v>
      </c>
      <c r="J14" s="8">
        <f t="shared" si="3"/>
        <v>8770.5229848351228</v>
      </c>
      <c r="K14" s="8">
        <f>AR14+AQ14+AP14+AO14</f>
        <v>14489</v>
      </c>
      <c r="M14" s="8">
        <f>M16+M15</f>
        <v>14.432747110000001</v>
      </c>
      <c r="N14" s="8">
        <f>N16+N15</f>
        <v>18.022122889999999</v>
      </c>
      <c r="O14" s="8">
        <f>O16+O15</f>
        <v>21.56476</v>
      </c>
      <c r="P14" s="8">
        <f t="shared" ref="P14" si="4">P16+P15</f>
        <v>72.644199999999998</v>
      </c>
      <c r="Q14" s="8">
        <f t="shared" ref="Q14" si="5">Q16+Q15</f>
        <v>34.705982999999996</v>
      </c>
      <c r="R14" s="8">
        <f t="shared" ref="R14" si="6">R16+R15</f>
        <v>52.424303930000008</v>
      </c>
      <c r="S14" s="8">
        <f t="shared" ref="S14" si="7">S16+S15</f>
        <v>45.393201753389839</v>
      </c>
      <c r="T14" s="8">
        <f t="shared" ref="T14" si="8">T16+T15</f>
        <v>94.787982836610183</v>
      </c>
      <c r="U14" s="8">
        <f t="shared" ref="U14" si="9">U16+U15</f>
        <v>68</v>
      </c>
      <c r="V14" s="8">
        <f t="shared" ref="V14" si="10">V16+V15</f>
        <v>77.370736949999994</v>
      </c>
      <c r="W14" s="8">
        <f t="shared" ref="W14" si="11">W16+W15</f>
        <v>98.032576369999987</v>
      </c>
      <c r="X14" s="8">
        <f t="shared" ref="X14" si="12">X16+X15</f>
        <v>199.80219889000003</v>
      </c>
      <c r="Y14" s="8">
        <f t="shared" ref="Y14" si="13">Y16+Y15</f>
        <v>150</v>
      </c>
      <c r="Z14" s="8">
        <f t="shared" ref="Z14" si="14">Z16+Z15</f>
        <v>180.02501831032356</v>
      </c>
      <c r="AA14" s="8">
        <f t="shared" ref="AA14" si="15">AA16+AA15</f>
        <v>258</v>
      </c>
      <c r="AB14" s="8">
        <f t="shared" ref="AB14" si="16">AB16+AB15</f>
        <v>672</v>
      </c>
      <c r="AC14" s="8">
        <f t="shared" ref="AC14" si="17">AC16+AC15</f>
        <v>490.58504032480732</v>
      </c>
      <c r="AD14" s="8">
        <f t="shared" ref="AD14" si="18">AD16+AD15</f>
        <v>564.80888243813558</v>
      </c>
      <c r="AE14" s="8">
        <f t="shared" ref="AE14" si="19">AE16+AE15</f>
        <v>604.72441661932203</v>
      </c>
      <c r="AF14" s="8">
        <f t="shared" ref="AF14" si="20">AF16+AF15</f>
        <v>1115.4156628722342</v>
      </c>
      <c r="AG14" s="8">
        <f t="shared" ref="AG14" si="21">AG16+AG15</f>
        <v>900</v>
      </c>
      <c r="AH14" s="8">
        <f t="shared" ref="AH14" si="22">AH16+AH15</f>
        <v>824.72784877688741</v>
      </c>
      <c r="AI14" s="8">
        <f t="shared" ref="AI14" si="23">AI16+AI15</f>
        <v>910.19624584243445</v>
      </c>
      <c r="AJ14" s="8">
        <f t="shared" ref="AJ14" si="24">AJ16+AJ15</f>
        <v>2001.8119421485205</v>
      </c>
      <c r="AK14" s="8">
        <f t="shared" ref="AK14" si="25">AK16+AK15</f>
        <v>1452.9073722944922</v>
      </c>
      <c r="AL14" s="8">
        <f t="shared" ref="AL14" si="26">AL16+AL15</f>
        <v>1623.0471389914032</v>
      </c>
      <c r="AM14" s="8">
        <f t="shared" ref="AM14" si="27">AM16+AM15</f>
        <v>2054.2734418945856</v>
      </c>
      <c r="AN14" s="8">
        <f t="shared" ref="AN14" si="28">AN16+AN15</f>
        <v>3640.2950316546412</v>
      </c>
      <c r="AO14" s="8">
        <f t="shared" ref="AO14" si="29">AO16+AO15</f>
        <v>2582.635230327081</v>
      </c>
      <c r="AP14" s="8">
        <f t="shared" ref="AP14" si="30">AP16+AP15</f>
        <v>2720.12552148639</v>
      </c>
      <c r="AQ14" s="8">
        <v>3369.2392481865286</v>
      </c>
      <c r="AR14" s="8">
        <v>5817</v>
      </c>
      <c r="AT14" s="8"/>
      <c r="AU14" s="8"/>
      <c r="AV14" s="8"/>
    </row>
    <row r="15" spans="2:48">
      <c r="B15" t="s">
        <v>165</v>
      </c>
      <c r="C15" s="41" t="s">
        <v>158</v>
      </c>
      <c r="D15" s="100">
        <v>0</v>
      </c>
      <c r="E15" s="100">
        <v>0</v>
      </c>
      <c r="F15" s="100">
        <v>0</v>
      </c>
      <c r="G15" s="100">
        <v>300.02501831032356</v>
      </c>
      <c r="H15" s="100">
        <v>926.53400225449923</v>
      </c>
      <c r="I15" s="100">
        <v>2588.7360367678421</v>
      </c>
      <c r="J15" s="100">
        <v>6808.717987166443</v>
      </c>
      <c r="K15" s="100">
        <f>AR15+AQ15+AP15+AO15</f>
        <v>12818.852089034548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>
        <v>0</v>
      </c>
      <c r="Z15" s="100">
        <v>20.025018310323574</v>
      </c>
      <c r="AA15" s="100">
        <v>78</v>
      </c>
      <c r="AB15" s="100">
        <v>202</v>
      </c>
      <c r="AC15" s="100">
        <v>146.58504032480735</v>
      </c>
      <c r="AD15" s="100">
        <v>179.80888243813561</v>
      </c>
      <c r="AE15" s="100">
        <v>186.72441661932203</v>
      </c>
      <c r="AF15" s="100">
        <v>413.41566287223418</v>
      </c>
      <c r="AG15" s="100">
        <v>340</v>
      </c>
      <c r="AH15" s="100">
        <v>359.72784877688747</v>
      </c>
      <c r="AI15" s="100">
        <v>459.19624584243445</v>
      </c>
      <c r="AJ15" s="100">
        <v>1429.8119421485205</v>
      </c>
      <c r="AK15" s="100">
        <v>954.79969726449235</v>
      </c>
      <c r="AL15" s="100">
        <v>1203.3881038314032</v>
      </c>
      <c r="AM15" s="100">
        <v>1629.2734418945854</v>
      </c>
      <c r="AN15" s="100">
        <v>3021.256744175962</v>
      </c>
      <c r="AO15" s="100">
        <v>2115.5791095371146</v>
      </c>
      <c r="AP15" s="100">
        <v>2397.6981584617288</v>
      </c>
      <c r="AQ15" s="100">
        <v>3033.9618230729011</v>
      </c>
      <c r="AR15" s="100">
        <v>5271.612997962804</v>
      </c>
      <c r="AS15" s="41"/>
      <c r="AT15" s="41"/>
      <c r="AU15" s="41"/>
      <c r="AV15" s="41"/>
    </row>
    <row r="16" spans="2:48">
      <c r="B16" s="40" t="s">
        <v>166</v>
      </c>
      <c r="C16" s="11" t="s">
        <v>158</v>
      </c>
      <c r="D16" s="97">
        <v>126.66382999999999</v>
      </c>
      <c r="E16" s="97">
        <v>227.31147152000003</v>
      </c>
      <c r="F16" s="97">
        <v>443.20551220999999</v>
      </c>
      <c r="G16" s="97">
        <v>960</v>
      </c>
      <c r="H16" s="97">
        <v>1849</v>
      </c>
      <c r="I16" s="97">
        <v>2048</v>
      </c>
      <c r="J16" s="97">
        <v>1961.8049976686793</v>
      </c>
      <c r="K16" s="97">
        <f>AR16+AQ16+AP16+AO16</f>
        <v>1669.8333336622686</v>
      </c>
      <c r="M16" s="97">
        <v>14.432747110000001</v>
      </c>
      <c r="N16" s="97">
        <v>18.022122889999999</v>
      </c>
      <c r="O16" s="97">
        <v>21.56476</v>
      </c>
      <c r="P16" s="97">
        <v>72.644199999999998</v>
      </c>
      <c r="Q16" s="97">
        <v>34.705982999999996</v>
      </c>
      <c r="R16" s="97">
        <v>52.424303930000008</v>
      </c>
      <c r="S16" s="97">
        <v>45.393201753389839</v>
      </c>
      <c r="T16" s="97">
        <v>94.787982836610183</v>
      </c>
      <c r="U16" s="97">
        <v>68</v>
      </c>
      <c r="V16" s="97">
        <v>77.370736949999994</v>
      </c>
      <c r="W16" s="97">
        <v>98.032576369999987</v>
      </c>
      <c r="X16" s="97">
        <v>199.80219889000003</v>
      </c>
      <c r="Y16" s="97">
        <v>150</v>
      </c>
      <c r="Z16" s="97">
        <v>160</v>
      </c>
      <c r="AA16" s="97">
        <v>180</v>
      </c>
      <c r="AB16" s="97">
        <v>470</v>
      </c>
      <c r="AC16" s="97">
        <v>344</v>
      </c>
      <c r="AD16" s="97">
        <v>385</v>
      </c>
      <c r="AE16" s="97">
        <v>418</v>
      </c>
      <c r="AF16" s="97">
        <v>702</v>
      </c>
      <c r="AG16" s="97">
        <v>560</v>
      </c>
      <c r="AH16" s="97">
        <v>465</v>
      </c>
      <c r="AI16" s="97">
        <v>451</v>
      </c>
      <c r="AJ16" s="97">
        <v>572</v>
      </c>
      <c r="AK16" s="97">
        <v>498.10767502999994</v>
      </c>
      <c r="AL16" s="97">
        <v>419.65903515999997</v>
      </c>
      <c r="AM16" s="97">
        <v>425</v>
      </c>
      <c r="AN16" s="97">
        <v>619.03828747867942</v>
      </c>
      <c r="AO16" s="97">
        <v>467.0561207899662</v>
      </c>
      <c r="AP16" s="97">
        <v>322.42736302466125</v>
      </c>
      <c r="AQ16" s="97">
        <v>335.14907957178934</v>
      </c>
      <c r="AR16" s="97">
        <v>545.20077027585194</v>
      </c>
      <c r="AS16" s="11"/>
      <c r="AT16" s="11"/>
      <c r="AU16" s="11"/>
      <c r="AV16" s="11"/>
    </row>
    <row r="17" spans="2:48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2:48">
      <c r="B18" s="18" t="s">
        <v>144</v>
      </c>
      <c r="C18" s="44" t="s">
        <v>159</v>
      </c>
      <c r="D18" s="8">
        <f t="shared" ref="D18:J18" si="31">D19+D20+D21+D22+D24+D23</f>
        <v>216</v>
      </c>
      <c r="E18" s="8">
        <f t="shared" si="31"/>
        <v>252</v>
      </c>
      <c r="F18" s="8">
        <f t="shared" si="31"/>
        <v>322</v>
      </c>
      <c r="G18" s="8">
        <f t="shared" si="31"/>
        <v>425</v>
      </c>
      <c r="H18" s="8">
        <f t="shared" si="31"/>
        <v>525</v>
      </c>
      <c r="I18" s="8">
        <f t="shared" si="31"/>
        <v>622</v>
      </c>
      <c r="J18" s="8">
        <f t="shared" si="31"/>
        <v>743</v>
      </c>
      <c r="K18" s="8">
        <f>K19+K20+K21+K22+K24+K23</f>
        <v>842</v>
      </c>
      <c r="L18" s="10"/>
      <c r="M18" s="8">
        <f t="shared" ref="M18:AJ18" si="32">M19+M20+M21+M22+M24</f>
        <v>171</v>
      </c>
      <c r="N18" s="8">
        <f t="shared" si="32"/>
        <v>181</v>
      </c>
      <c r="O18" s="8">
        <f t="shared" si="32"/>
        <v>192</v>
      </c>
      <c r="P18" s="8">
        <f t="shared" si="32"/>
        <v>216</v>
      </c>
      <c r="Q18" s="8">
        <f t="shared" si="32"/>
        <v>219</v>
      </c>
      <c r="R18" s="8">
        <f t="shared" si="32"/>
        <v>224</v>
      </c>
      <c r="S18" s="8">
        <f t="shared" si="32"/>
        <v>231</v>
      </c>
      <c r="T18" s="8">
        <f t="shared" si="32"/>
        <v>252</v>
      </c>
      <c r="U18" s="8">
        <f t="shared" si="32"/>
        <v>257</v>
      </c>
      <c r="V18" s="8">
        <f t="shared" si="32"/>
        <v>264</v>
      </c>
      <c r="W18" s="8">
        <f t="shared" si="32"/>
        <v>296</v>
      </c>
      <c r="X18" s="8">
        <f t="shared" si="32"/>
        <v>322</v>
      </c>
      <c r="Y18" s="8">
        <f t="shared" si="32"/>
        <v>330</v>
      </c>
      <c r="Z18" s="8">
        <f t="shared" si="32"/>
        <v>347</v>
      </c>
      <c r="AA18" s="8">
        <f t="shared" si="32"/>
        <v>370</v>
      </c>
      <c r="AB18" s="8">
        <f t="shared" si="32"/>
        <v>425</v>
      </c>
      <c r="AC18" s="8">
        <f t="shared" si="32"/>
        <v>429</v>
      </c>
      <c r="AD18" s="8">
        <f t="shared" si="32"/>
        <v>444</v>
      </c>
      <c r="AE18" s="8">
        <f t="shared" si="32"/>
        <v>464</v>
      </c>
      <c r="AF18" s="8">
        <f t="shared" si="32"/>
        <v>525</v>
      </c>
      <c r="AG18" s="8">
        <f t="shared" si="32"/>
        <v>521</v>
      </c>
      <c r="AH18" s="8">
        <f t="shared" si="32"/>
        <v>528</v>
      </c>
      <c r="AI18" s="8">
        <f t="shared" si="32"/>
        <v>557</v>
      </c>
      <c r="AJ18" s="8">
        <f t="shared" si="32"/>
        <v>622</v>
      </c>
      <c r="AK18" s="8">
        <v>686</v>
      </c>
      <c r="AL18" s="8">
        <v>650</v>
      </c>
      <c r="AM18" s="8">
        <v>666</v>
      </c>
      <c r="AN18" s="8">
        <v>743</v>
      </c>
      <c r="AO18" s="8">
        <v>748</v>
      </c>
      <c r="AP18" s="8">
        <v>760</v>
      </c>
      <c r="AQ18" s="8">
        <f>AQ19+AQ20+AQ21+AQ22+AQ23+AQ24</f>
        <v>780</v>
      </c>
      <c r="AR18" s="8">
        <f>AR19+AR20+AR21+AR22+AR23+AR24</f>
        <v>842</v>
      </c>
      <c r="AS18" s="8"/>
      <c r="AT18" s="8"/>
      <c r="AU18" s="8"/>
      <c r="AV18" s="8"/>
    </row>
    <row r="19" spans="2:48">
      <c r="B19" t="s">
        <v>147</v>
      </c>
      <c r="C19" s="41" t="s">
        <v>159</v>
      </c>
      <c r="D19" s="41">
        <v>191</v>
      </c>
      <c r="E19" s="41">
        <v>219</v>
      </c>
      <c r="F19" s="41">
        <v>273</v>
      </c>
      <c r="G19" s="41">
        <v>374</v>
      </c>
      <c r="H19" s="41">
        <v>468</v>
      </c>
      <c r="I19" s="41">
        <v>556</v>
      </c>
      <c r="J19" s="41">
        <v>643</v>
      </c>
      <c r="K19" s="41">
        <v>720</v>
      </c>
      <c r="L19" s="10"/>
      <c r="M19" s="41">
        <v>152</v>
      </c>
      <c r="N19" s="41">
        <v>160</v>
      </c>
      <c r="O19" s="41">
        <v>169</v>
      </c>
      <c r="P19" s="41">
        <v>191</v>
      </c>
      <c r="Q19" s="41">
        <v>193</v>
      </c>
      <c r="R19" s="41">
        <v>197</v>
      </c>
      <c r="S19" s="41">
        <v>202</v>
      </c>
      <c r="T19" s="41">
        <v>219</v>
      </c>
      <c r="U19" s="41">
        <v>221</v>
      </c>
      <c r="V19" s="41">
        <v>226</v>
      </c>
      <c r="W19" s="41">
        <v>249</v>
      </c>
      <c r="X19" s="41">
        <v>273</v>
      </c>
      <c r="Y19" s="41">
        <v>281</v>
      </c>
      <c r="Z19" s="41">
        <v>297</v>
      </c>
      <c r="AA19" s="41">
        <v>320</v>
      </c>
      <c r="AB19" s="41">
        <v>374</v>
      </c>
      <c r="AC19" s="41">
        <v>378</v>
      </c>
      <c r="AD19" s="41">
        <v>392</v>
      </c>
      <c r="AE19" s="41">
        <v>411</v>
      </c>
      <c r="AF19" s="41">
        <v>468</v>
      </c>
      <c r="AG19" s="41">
        <v>468</v>
      </c>
      <c r="AH19" s="41">
        <v>475</v>
      </c>
      <c r="AI19" s="41">
        <v>501</v>
      </c>
      <c r="AJ19" s="41">
        <v>556</v>
      </c>
      <c r="AK19" s="10">
        <v>618</v>
      </c>
      <c r="AL19" s="10">
        <v>575</v>
      </c>
      <c r="AM19" s="10">
        <v>586</v>
      </c>
      <c r="AN19" s="10">
        <v>643</v>
      </c>
      <c r="AO19" s="10">
        <v>641</v>
      </c>
      <c r="AP19" s="10">
        <v>654</v>
      </c>
      <c r="AQ19" s="41">
        <v>672</v>
      </c>
      <c r="AR19" s="41">
        <v>720</v>
      </c>
      <c r="AS19" s="41"/>
      <c r="AT19" s="41"/>
      <c r="AU19" s="41"/>
      <c r="AV19" s="41"/>
    </row>
    <row r="20" spans="2:48">
      <c r="B20" t="s">
        <v>148</v>
      </c>
      <c r="C20" s="10" t="s">
        <v>159</v>
      </c>
      <c r="D20" s="10">
        <v>5</v>
      </c>
      <c r="E20" s="10">
        <v>6</v>
      </c>
      <c r="F20" s="10">
        <v>6</v>
      </c>
      <c r="G20" s="10">
        <v>7</v>
      </c>
      <c r="H20" s="10">
        <v>12</v>
      </c>
      <c r="I20" s="10">
        <v>22</v>
      </c>
      <c r="J20" s="10">
        <v>30</v>
      </c>
      <c r="K20" s="10">
        <v>38</v>
      </c>
      <c r="L20" s="10"/>
      <c r="M20" s="10">
        <v>1</v>
      </c>
      <c r="N20" s="10">
        <v>3</v>
      </c>
      <c r="O20" s="10">
        <v>4</v>
      </c>
      <c r="P20" s="10">
        <v>5</v>
      </c>
      <c r="Q20" s="10">
        <v>5</v>
      </c>
      <c r="R20" s="10">
        <v>5</v>
      </c>
      <c r="S20" s="10">
        <v>5</v>
      </c>
      <c r="T20" s="10">
        <v>6</v>
      </c>
      <c r="U20" s="10">
        <v>6</v>
      </c>
      <c r="V20" s="10">
        <v>6</v>
      </c>
      <c r="W20" s="10">
        <v>6</v>
      </c>
      <c r="X20" s="10">
        <v>6</v>
      </c>
      <c r="Y20" s="10">
        <v>6</v>
      </c>
      <c r="Z20" s="10">
        <v>6</v>
      </c>
      <c r="AA20" s="10">
        <v>6</v>
      </c>
      <c r="AB20" s="10">
        <v>7</v>
      </c>
      <c r="AC20" s="10">
        <v>7</v>
      </c>
      <c r="AD20" s="10">
        <v>8</v>
      </c>
      <c r="AE20" s="10">
        <v>9</v>
      </c>
      <c r="AF20" s="10">
        <v>12</v>
      </c>
      <c r="AG20" s="10">
        <v>12</v>
      </c>
      <c r="AH20" s="10">
        <v>13</v>
      </c>
      <c r="AI20" s="10">
        <v>15</v>
      </c>
      <c r="AJ20" s="10">
        <v>22</v>
      </c>
      <c r="AK20" s="10">
        <v>22</v>
      </c>
      <c r="AL20" s="10">
        <v>24</v>
      </c>
      <c r="AM20" s="10">
        <v>24</v>
      </c>
      <c r="AN20" s="10">
        <v>30</v>
      </c>
      <c r="AO20" s="62">
        <v>30</v>
      </c>
      <c r="AP20" s="62">
        <v>30</v>
      </c>
      <c r="AQ20" s="10">
        <v>33</v>
      </c>
      <c r="AR20" s="10">
        <v>38</v>
      </c>
      <c r="AS20" s="10"/>
      <c r="AT20" s="10"/>
      <c r="AU20" s="10"/>
      <c r="AV20" s="10"/>
    </row>
    <row r="21" spans="2:48">
      <c r="B21" t="s">
        <v>152</v>
      </c>
      <c r="C21" s="10" t="s">
        <v>159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8</v>
      </c>
      <c r="L21" s="10"/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3</v>
      </c>
      <c r="AP21" s="10">
        <v>4</v>
      </c>
      <c r="AQ21" s="10">
        <v>5</v>
      </c>
      <c r="AR21" s="10">
        <v>8</v>
      </c>
      <c r="AS21" s="10"/>
      <c r="AT21" s="10"/>
      <c r="AU21" s="10"/>
      <c r="AV21" s="10"/>
    </row>
    <row r="22" spans="2:48">
      <c r="B22" t="s">
        <v>153</v>
      </c>
      <c r="C22" s="10" t="s">
        <v>159</v>
      </c>
      <c r="D22" s="10">
        <v>20</v>
      </c>
      <c r="E22" s="10">
        <v>27</v>
      </c>
      <c r="F22" s="10">
        <v>43</v>
      </c>
      <c r="G22" s="10">
        <v>44</v>
      </c>
      <c r="H22" s="10">
        <v>45</v>
      </c>
      <c r="I22" s="10">
        <v>44</v>
      </c>
      <c r="J22" s="10">
        <v>66</v>
      </c>
      <c r="K22" s="10">
        <v>62</v>
      </c>
      <c r="L22" s="10"/>
      <c r="M22" s="10">
        <v>18</v>
      </c>
      <c r="N22" s="10">
        <v>18</v>
      </c>
      <c r="O22" s="10">
        <v>19</v>
      </c>
      <c r="P22" s="10">
        <v>20</v>
      </c>
      <c r="Q22" s="10">
        <v>21</v>
      </c>
      <c r="R22" s="10">
        <v>22</v>
      </c>
      <c r="S22" s="10">
        <v>24</v>
      </c>
      <c r="T22" s="10">
        <v>27</v>
      </c>
      <c r="U22" s="10">
        <v>30</v>
      </c>
      <c r="V22" s="10">
        <v>32</v>
      </c>
      <c r="W22" s="10">
        <v>41</v>
      </c>
      <c r="X22" s="10">
        <v>43</v>
      </c>
      <c r="Y22" s="10">
        <v>43</v>
      </c>
      <c r="Z22" s="10">
        <v>44</v>
      </c>
      <c r="AA22" s="10">
        <v>44</v>
      </c>
      <c r="AB22" s="10">
        <v>44</v>
      </c>
      <c r="AC22" s="10">
        <v>44</v>
      </c>
      <c r="AD22" s="10">
        <v>44</v>
      </c>
      <c r="AE22" s="10">
        <v>44</v>
      </c>
      <c r="AF22" s="10">
        <v>45</v>
      </c>
      <c r="AG22" s="10">
        <v>41</v>
      </c>
      <c r="AH22" s="10">
        <v>40</v>
      </c>
      <c r="AI22" s="10">
        <v>41</v>
      </c>
      <c r="AJ22" s="10">
        <v>44</v>
      </c>
      <c r="AK22" s="10">
        <v>46</v>
      </c>
      <c r="AL22" s="10">
        <v>51</v>
      </c>
      <c r="AM22" s="10">
        <v>56</v>
      </c>
      <c r="AN22" s="10">
        <v>66</v>
      </c>
      <c r="AO22" s="10">
        <v>68</v>
      </c>
      <c r="AP22" s="10">
        <v>66</v>
      </c>
      <c r="AQ22" s="62">
        <v>62</v>
      </c>
      <c r="AR22" s="62">
        <v>62</v>
      </c>
      <c r="AS22" s="89"/>
      <c r="AT22" s="89"/>
    </row>
    <row r="23" spans="2:48" s="89" customFormat="1">
      <c r="B23" s="89" t="s">
        <v>191</v>
      </c>
      <c r="C23" s="10" t="s">
        <v>159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4</v>
      </c>
      <c r="L23" s="10"/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4</v>
      </c>
    </row>
    <row r="24" spans="2:48">
      <c r="B24" s="40" t="s">
        <v>154</v>
      </c>
      <c r="C24" s="11" t="s">
        <v>159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</v>
      </c>
      <c r="K24" s="11">
        <v>10</v>
      </c>
      <c r="L24" s="10"/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4</v>
      </c>
      <c r="AO24" s="11">
        <v>6</v>
      </c>
      <c r="AP24" s="11">
        <v>6</v>
      </c>
      <c r="AQ24" s="11">
        <v>8</v>
      </c>
      <c r="AR24" s="11">
        <v>10</v>
      </c>
      <c r="AS24" s="11"/>
      <c r="AT24" s="11"/>
      <c r="AU24" s="11"/>
      <c r="AV24" s="11"/>
    </row>
    <row r="25" spans="2:48">
      <c r="B25" s="20"/>
      <c r="C25" s="11"/>
      <c r="D25" s="11"/>
      <c r="E25" s="11"/>
      <c r="F25" s="11"/>
      <c r="G25" s="11"/>
      <c r="H25" s="11"/>
      <c r="I25" s="11"/>
      <c r="J25" s="11"/>
      <c r="K25" s="11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2:48">
      <c r="B26" s="18" t="s">
        <v>160</v>
      </c>
      <c r="C26" s="44" t="s">
        <v>161</v>
      </c>
      <c r="D26" s="8">
        <f t="shared" ref="D26:J26" si="33">D27+D28+D29+D30+D32+D31</f>
        <v>291</v>
      </c>
      <c r="E26" s="8">
        <f t="shared" si="33"/>
        <v>320</v>
      </c>
      <c r="F26" s="8">
        <f t="shared" si="33"/>
        <v>390</v>
      </c>
      <c r="G26" s="8">
        <f t="shared" si="33"/>
        <v>491</v>
      </c>
      <c r="H26" s="8">
        <f t="shared" si="33"/>
        <v>596</v>
      </c>
      <c r="I26" s="8">
        <f t="shared" si="33"/>
        <v>688</v>
      </c>
      <c r="J26" s="8">
        <f t="shared" si="33"/>
        <v>768.47557999999958</v>
      </c>
      <c r="K26" s="8">
        <f>K27+K28+K29+K30+K32+K31</f>
        <v>842.69999999999993</v>
      </c>
      <c r="L26" s="10"/>
      <c r="M26" s="8">
        <f t="shared" ref="M26:AQ26" si="34">M27+M28+M29+M30+M32+M31</f>
        <v>241.47144999999995</v>
      </c>
      <c r="N26" s="8">
        <f t="shared" si="34"/>
        <v>251.97929999999997</v>
      </c>
      <c r="O26" s="8">
        <f t="shared" si="34"/>
        <v>263.24455999999992</v>
      </c>
      <c r="P26" s="8">
        <f t="shared" si="34"/>
        <v>291</v>
      </c>
      <c r="Q26" s="8">
        <f t="shared" si="34"/>
        <v>288.91193000000004</v>
      </c>
      <c r="R26" s="8">
        <f t="shared" si="34"/>
        <v>293.61844000000002</v>
      </c>
      <c r="S26" s="8">
        <f t="shared" si="34"/>
        <v>299.02055000000001</v>
      </c>
      <c r="T26" s="8">
        <f t="shared" si="34"/>
        <v>319.99355000000003</v>
      </c>
      <c r="U26" s="8">
        <f t="shared" si="34"/>
        <v>321.59089999999998</v>
      </c>
      <c r="V26" s="8">
        <f t="shared" si="34"/>
        <v>327.98677000000009</v>
      </c>
      <c r="W26" s="8">
        <f t="shared" si="34"/>
        <v>361.85073000000006</v>
      </c>
      <c r="X26" s="8">
        <f t="shared" si="34"/>
        <v>389.76366000000002</v>
      </c>
      <c r="Y26" s="8">
        <f t="shared" si="34"/>
        <v>398.90738000000005</v>
      </c>
      <c r="Z26" s="8">
        <f t="shared" si="34"/>
        <v>410.67437999999993</v>
      </c>
      <c r="AA26" s="8">
        <f t="shared" si="34"/>
        <v>434.70037999999994</v>
      </c>
      <c r="AB26" s="8">
        <f t="shared" si="34"/>
        <v>491.21832999999992</v>
      </c>
      <c r="AC26" s="8">
        <f t="shared" si="34"/>
        <v>493.5096299999999</v>
      </c>
      <c r="AD26" s="8">
        <f t="shared" si="34"/>
        <v>510.59202999999991</v>
      </c>
      <c r="AE26" s="8">
        <f t="shared" si="34"/>
        <v>532.00912999999991</v>
      </c>
      <c r="AF26" s="8">
        <f t="shared" si="34"/>
        <v>595.55816999999979</v>
      </c>
      <c r="AG26" s="8">
        <f t="shared" si="34"/>
        <v>597.37116999999978</v>
      </c>
      <c r="AH26" s="8">
        <f t="shared" si="34"/>
        <v>605.26116999999988</v>
      </c>
      <c r="AI26" s="8">
        <f t="shared" si="34"/>
        <v>632.30816999999979</v>
      </c>
      <c r="AJ26" s="8">
        <f t="shared" si="34"/>
        <v>687.58616999999981</v>
      </c>
      <c r="AK26" s="8">
        <f t="shared" si="34"/>
        <v>685.65399999999988</v>
      </c>
      <c r="AL26" s="8">
        <f t="shared" si="34"/>
        <v>703.84899999999993</v>
      </c>
      <c r="AM26" s="8">
        <f t="shared" si="34"/>
        <v>714.14400000000001</v>
      </c>
      <c r="AN26" s="8">
        <f t="shared" si="34"/>
        <v>768.47557999999958</v>
      </c>
      <c r="AO26" s="8">
        <f t="shared" si="34"/>
        <v>768.83034999999973</v>
      </c>
      <c r="AP26" s="8">
        <f t="shared" si="34"/>
        <v>776.61118999999951</v>
      </c>
      <c r="AQ26" s="8">
        <f t="shared" si="34"/>
        <v>794.42306999999948</v>
      </c>
      <c r="AR26" s="8">
        <f>K26</f>
        <v>842.69999999999993</v>
      </c>
      <c r="AS26" s="8"/>
      <c r="AT26" s="8"/>
      <c r="AU26" s="8"/>
      <c r="AV26" s="8"/>
    </row>
    <row r="27" spans="2:48">
      <c r="B27" t="s">
        <v>147</v>
      </c>
      <c r="C27" s="10" t="s">
        <v>161</v>
      </c>
      <c r="D27" s="41">
        <v>282.66262999999998</v>
      </c>
      <c r="E27" s="41">
        <v>309.93881999999996</v>
      </c>
      <c r="F27" s="41">
        <v>378.53781999999995</v>
      </c>
      <c r="G27" s="41">
        <v>478.48514999999998</v>
      </c>
      <c r="H27" s="41">
        <v>578.66914999999995</v>
      </c>
      <c r="I27" s="41">
        <v>661.83715000000007</v>
      </c>
      <c r="J27" s="41">
        <v>732.44971999999962</v>
      </c>
      <c r="K27" s="41">
        <v>792</v>
      </c>
      <c r="L27" s="10"/>
      <c r="M27" s="41">
        <v>238.30144999999996</v>
      </c>
      <c r="N27" s="41">
        <v>246.80929999999998</v>
      </c>
      <c r="O27" s="41">
        <v>256.25955999999991</v>
      </c>
      <c r="P27" s="41">
        <v>282.66262999999998</v>
      </c>
      <c r="Q27" s="41">
        <v>280.45123000000001</v>
      </c>
      <c r="R27" s="41">
        <v>284.98374000000001</v>
      </c>
      <c r="S27" s="41">
        <v>290.20985000000002</v>
      </c>
      <c r="T27" s="41">
        <v>309.93236999999999</v>
      </c>
      <c r="U27" s="41">
        <v>311.26871999999997</v>
      </c>
      <c r="V27" s="41">
        <v>317.51659000000006</v>
      </c>
      <c r="W27" s="41">
        <v>350.60855000000004</v>
      </c>
      <c r="X27" s="41">
        <v>378.30147999999997</v>
      </c>
      <c r="Y27" s="41">
        <v>387.41548</v>
      </c>
      <c r="Z27" s="41">
        <v>398.9364799999999</v>
      </c>
      <c r="AA27" s="41">
        <v>422.96247999999991</v>
      </c>
      <c r="AB27" s="41">
        <v>478.7034799999999</v>
      </c>
      <c r="AC27" s="41">
        <v>481.2077799999999</v>
      </c>
      <c r="AD27" s="41">
        <v>497.10117999999994</v>
      </c>
      <c r="AE27" s="41">
        <v>517.69027999999992</v>
      </c>
      <c r="AF27" s="41">
        <v>578.22531999999978</v>
      </c>
      <c r="AG27" s="41">
        <v>580.43431999999984</v>
      </c>
      <c r="AH27" s="41">
        <v>587.4363199999998</v>
      </c>
      <c r="AI27" s="41">
        <v>612.76831999999979</v>
      </c>
      <c r="AJ27" s="41">
        <v>661.42131999999981</v>
      </c>
      <c r="AK27" s="41">
        <v>659.3</v>
      </c>
      <c r="AL27" s="41">
        <v>675</v>
      </c>
      <c r="AM27" s="41">
        <v>684.80000000000007</v>
      </c>
      <c r="AN27" s="41">
        <v>732.44971999999962</v>
      </c>
      <c r="AO27" s="41">
        <v>729.47919999999976</v>
      </c>
      <c r="AP27" s="41">
        <v>736.64755999999954</v>
      </c>
      <c r="AQ27" s="41">
        <f>('[1]Действующие магазины РФ'!$H$677)/1000</f>
        <v>751.37595999999951</v>
      </c>
      <c r="AR27" s="41">
        <f t="shared" ref="AR27:AR32" si="35">K27</f>
        <v>792</v>
      </c>
      <c r="AS27" s="41"/>
      <c r="AT27" s="41"/>
      <c r="AU27" s="41"/>
      <c r="AV27" s="41"/>
    </row>
    <row r="28" spans="2:48">
      <c r="B28" t="s">
        <v>148</v>
      </c>
      <c r="C28" s="10" t="s">
        <v>161</v>
      </c>
      <c r="D28" s="10">
        <v>6.037370000000001</v>
      </c>
      <c r="E28" s="10">
        <v>6.9978500000000006</v>
      </c>
      <c r="F28" s="10">
        <v>6.9978500000000006</v>
      </c>
      <c r="G28" s="10">
        <v>7.9458500000000001</v>
      </c>
      <c r="H28" s="10">
        <v>12.87585</v>
      </c>
      <c r="I28" s="10">
        <v>21.806849999999997</v>
      </c>
      <c r="J28" s="10">
        <v>28.854849999999999</v>
      </c>
      <c r="K28" s="10">
        <v>35.9</v>
      </c>
      <c r="L28" s="10"/>
      <c r="M28" s="10">
        <v>1.1000000000000001</v>
      </c>
      <c r="N28" s="10">
        <v>3.1</v>
      </c>
      <c r="O28" s="10">
        <v>4.8</v>
      </c>
      <c r="P28" s="10">
        <v>6.037370000000001</v>
      </c>
      <c r="Q28" s="10">
        <v>6.037370000000001</v>
      </c>
      <c r="R28" s="10">
        <v>6.037370000000001</v>
      </c>
      <c r="S28" s="10">
        <v>6.037370000000001</v>
      </c>
      <c r="T28" s="10">
        <v>6.9978500000000006</v>
      </c>
      <c r="U28" s="10">
        <v>6.9978500000000006</v>
      </c>
      <c r="V28" s="10">
        <v>6.9978500000000006</v>
      </c>
      <c r="W28" s="10">
        <v>6.9978500000000006</v>
      </c>
      <c r="X28" s="10">
        <v>6.9978500000000006</v>
      </c>
      <c r="Y28" s="10">
        <v>6.9978500000000006</v>
      </c>
      <c r="Z28" s="10">
        <v>6.9978500000000006</v>
      </c>
      <c r="AA28" s="10">
        <v>6.9978500000000006</v>
      </c>
      <c r="AB28" s="10">
        <v>7.9458500000000001</v>
      </c>
      <c r="AC28" s="10">
        <v>7.9458500000000001</v>
      </c>
      <c r="AD28" s="10">
        <v>9.1348500000000001</v>
      </c>
      <c r="AE28" s="10">
        <v>9.9628499999999995</v>
      </c>
      <c r="AF28" s="10">
        <v>12.87785</v>
      </c>
      <c r="AG28" s="10">
        <v>12.87785</v>
      </c>
      <c r="AH28" s="10">
        <v>13.864850000000001</v>
      </c>
      <c r="AI28" s="10">
        <v>15.48085</v>
      </c>
      <c r="AJ28" s="10">
        <v>21.80885</v>
      </c>
      <c r="AK28" s="10">
        <v>21.8</v>
      </c>
      <c r="AL28" s="10">
        <v>23.8</v>
      </c>
      <c r="AM28" s="10">
        <v>23.8</v>
      </c>
      <c r="AN28" s="10">
        <v>28.854849999999999</v>
      </c>
      <c r="AO28" s="10">
        <v>28.852809999999998</v>
      </c>
      <c r="AP28" s="10">
        <v>28.852809999999998</v>
      </c>
      <c r="AQ28" s="10">
        <f>('[1]Действующие магазины РФ'!$H$678)/1000</f>
        <v>31.394949999999998</v>
      </c>
      <c r="AR28" s="10">
        <f t="shared" si="35"/>
        <v>35.9</v>
      </c>
      <c r="AT28" s="10"/>
      <c r="AU28" s="10"/>
      <c r="AV28" s="10"/>
    </row>
    <row r="29" spans="2:48">
      <c r="B29" t="s">
        <v>152</v>
      </c>
      <c r="C29" s="10" t="s">
        <v>161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6.8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2.9665500000000002</v>
      </c>
      <c r="AP29" s="10">
        <v>3.7359</v>
      </c>
      <c r="AQ29" s="10">
        <f>('[1]Действующие магазины РФ'!$H$679)/1000</f>
        <v>4.4920400000000003</v>
      </c>
      <c r="AR29" s="10">
        <f t="shared" si="35"/>
        <v>6.8</v>
      </c>
      <c r="AS29" s="10"/>
      <c r="AT29" s="10"/>
      <c r="AU29" s="10"/>
      <c r="AV29" s="10"/>
    </row>
    <row r="30" spans="2:48">
      <c r="B30" t="s">
        <v>153</v>
      </c>
      <c r="C30" s="10" t="s">
        <v>161</v>
      </c>
      <c r="D30" s="10">
        <v>2.2999999999999998</v>
      </c>
      <c r="E30" s="10">
        <v>3.0633300000000001</v>
      </c>
      <c r="F30" s="10">
        <v>4.4643300000000004</v>
      </c>
      <c r="G30" s="10">
        <v>4.569</v>
      </c>
      <c r="H30" s="10">
        <v>4.4550000000000001</v>
      </c>
      <c r="I30" s="10">
        <v>4.3559999999999999</v>
      </c>
      <c r="J30" s="10">
        <v>6.5339999999999998</v>
      </c>
      <c r="K30" s="10">
        <v>5.9</v>
      </c>
      <c r="L30" s="10"/>
      <c r="M30" s="10">
        <v>2.0699999999999998</v>
      </c>
      <c r="N30" s="10">
        <v>2.0699999999999998</v>
      </c>
      <c r="O30" s="10">
        <v>2.1850000000000001</v>
      </c>
      <c r="P30" s="10">
        <v>2.2999999999999998</v>
      </c>
      <c r="Q30" s="10">
        <v>2.42333</v>
      </c>
      <c r="R30" s="10">
        <v>2.5973299999999999</v>
      </c>
      <c r="S30" s="10">
        <v>2.7733300000000001</v>
      </c>
      <c r="T30" s="10">
        <v>3.0633300000000001</v>
      </c>
      <c r="U30" s="10">
        <v>3.3243299999999998</v>
      </c>
      <c r="V30" s="10">
        <v>3.4723299999999999</v>
      </c>
      <c r="W30" s="10">
        <v>4.2443299999999997</v>
      </c>
      <c r="X30" s="10">
        <v>4.4643300000000004</v>
      </c>
      <c r="Y30" s="10">
        <v>4.4940500000000005</v>
      </c>
      <c r="Z30" s="10">
        <v>4.7400500000000001</v>
      </c>
      <c r="AA30" s="10">
        <v>4.7400500000000001</v>
      </c>
      <c r="AB30" s="10">
        <v>4.569</v>
      </c>
      <c r="AC30" s="10">
        <v>4.3559999999999999</v>
      </c>
      <c r="AD30" s="10">
        <v>4.3559999999999999</v>
      </c>
      <c r="AE30" s="10">
        <v>4.3559999999999999</v>
      </c>
      <c r="AF30" s="10">
        <v>4.4550000000000001</v>
      </c>
      <c r="AG30" s="10">
        <v>4.0590000000000002</v>
      </c>
      <c r="AH30" s="10">
        <v>3.96</v>
      </c>
      <c r="AI30" s="10">
        <v>4.0590000000000002</v>
      </c>
      <c r="AJ30" s="10">
        <v>4.3559999999999999</v>
      </c>
      <c r="AK30" s="10">
        <v>4.5540000000000003</v>
      </c>
      <c r="AL30" s="10">
        <v>5.0490000000000004</v>
      </c>
      <c r="AM30" s="10">
        <v>5.5439999999999996</v>
      </c>
      <c r="AN30" s="10">
        <v>6.5339999999999998</v>
      </c>
      <c r="AO30" s="10">
        <v>6.5357899999999978</v>
      </c>
      <c r="AP30" s="10">
        <v>6.378919999999999</v>
      </c>
      <c r="AQ30" s="10">
        <f>('[1]Действующие магазины РФ'!$H$680)/1000</f>
        <v>5.9782999999999991</v>
      </c>
      <c r="AR30" s="10">
        <f t="shared" si="35"/>
        <v>5.9</v>
      </c>
      <c r="AS30" s="10"/>
      <c r="AT30" s="10"/>
      <c r="AU30" s="10"/>
      <c r="AV30" s="10"/>
    </row>
    <row r="31" spans="2:48" s="89" customFormat="1">
      <c r="B31" s="89" t="s">
        <v>191</v>
      </c>
      <c r="C31" s="10" t="s">
        <v>161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0.7</v>
      </c>
      <c r="L31" s="10"/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f t="shared" si="35"/>
        <v>0.7</v>
      </c>
      <c r="AS31" s="10"/>
      <c r="AT31" s="10"/>
      <c r="AU31" s="10"/>
      <c r="AV31" s="10"/>
    </row>
    <row r="32" spans="2:48">
      <c r="B32" s="40" t="s">
        <v>154</v>
      </c>
      <c r="C32" s="11" t="s">
        <v>161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0.63700999999999997</v>
      </c>
      <c r="K32" s="11">
        <v>1.4</v>
      </c>
      <c r="L32" s="10"/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0.63700999999999997</v>
      </c>
      <c r="AO32" s="11">
        <v>0.996</v>
      </c>
      <c r="AP32" s="11">
        <v>0.996</v>
      </c>
      <c r="AQ32" s="11">
        <f>('[1]Действующие магазины РФ'!$H$681)/1000</f>
        <v>1.1818200000000001</v>
      </c>
      <c r="AR32" s="11">
        <f t="shared" si="35"/>
        <v>1.4</v>
      </c>
      <c r="AS32" s="11"/>
      <c r="AT32" s="11"/>
      <c r="AU32" s="11"/>
      <c r="AV32" s="11"/>
    </row>
    <row r="33" spans="2:48"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2:48">
      <c r="B34" s="18" t="s">
        <v>189</v>
      </c>
      <c r="C34" s="44" t="s">
        <v>162</v>
      </c>
      <c r="D34" s="8"/>
      <c r="E34" s="8"/>
      <c r="F34" s="8"/>
      <c r="G34" s="8"/>
      <c r="H34" s="8"/>
      <c r="I34" s="8"/>
      <c r="J34" s="8"/>
      <c r="K34" s="8"/>
      <c r="L34" s="1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2:48">
      <c r="B35" s="42" t="s">
        <v>145</v>
      </c>
      <c r="C35" s="10" t="s">
        <v>162</v>
      </c>
      <c r="D35" s="46">
        <v>5.6000000000000001E-2</v>
      </c>
      <c r="E35" s="46">
        <v>0.153</v>
      </c>
      <c r="F35" s="46">
        <v>0.14599999999999999</v>
      </c>
      <c r="G35" s="46">
        <v>0.13700000000000001</v>
      </c>
      <c r="H35" s="46">
        <v>0.123</v>
      </c>
      <c r="I35" s="46">
        <v>7.1999999999999995E-2</v>
      </c>
      <c r="J35" s="46">
        <v>4.2999999999999997E-2</v>
      </c>
      <c r="K35" s="46">
        <v>6.8000000000000005E-2</v>
      </c>
      <c r="M35" s="46">
        <v>0.14499999999999999</v>
      </c>
      <c r="N35" s="46">
        <v>4.7E-2</v>
      </c>
      <c r="O35" s="46">
        <v>3.2000000000000001E-2</v>
      </c>
      <c r="P35" s="46">
        <v>3.3000000000000002E-2</v>
      </c>
      <c r="Q35" s="46">
        <v>0.114</v>
      </c>
      <c r="R35" s="46">
        <v>0.189</v>
      </c>
      <c r="S35" s="46">
        <v>0.18</v>
      </c>
      <c r="T35" s="46">
        <v>0.13200000000000001</v>
      </c>
      <c r="U35" s="46">
        <v>0.253</v>
      </c>
      <c r="V35" s="46">
        <v>0.129</v>
      </c>
      <c r="W35" s="46">
        <v>0.09</v>
      </c>
      <c r="X35" s="46">
        <v>0.14000000000000001</v>
      </c>
      <c r="Y35" s="46">
        <v>0.13600000000000001</v>
      </c>
      <c r="Z35" s="46">
        <v>0.189</v>
      </c>
      <c r="AA35" s="46">
        <v>0.11700000000000001</v>
      </c>
      <c r="AB35" s="46">
        <v>0.122</v>
      </c>
      <c r="AC35" s="46">
        <v>0.13400000000000001</v>
      </c>
      <c r="AD35" s="46">
        <v>0.14000000000000001</v>
      </c>
      <c r="AE35" s="46">
        <v>0.14499999999999999</v>
      </c>
      <c r="AF35" s="46">
        <v>0.09</v>
      </c>
      <c r="AG35" s="46">
        <v>0.112</v>
      </c>
      <c r="AH35" s="46">
        <v>4.8000000000000001E-2</v>
      </c>
      <c r="AI35" s="46">
        <v>6.0999999999999999E-2</v>
      </c>
      <c r="AJ35" s="46">
        <v>7.1999999999999995E-2</v>
      </c>
      <c r="AK35" s="46">
        <v>5.0999999999999997E-2</v>
      </c>
      <c r="AL35" s="46">
        <v>6.0999999999999999E-2</v>
      </c>
      <c r="AM35" s="46">
        <v>3.6999999999999998E-2</v>
      </c>
      <c r="AN35" s="46">
        <v>0.03</v>
      </c>
      <c r="AO35" s="46">
        <v>6.6000000000000003E-2</v>
      </c>
      <c r="AP35" s="46">
        <v>6.2E-2</v>
      </c>
      <c r="AQ35" s="46">
        <v>0.10199999999999999</v>
      </c>
      <c r="AR35" s="46">
        <v>4.7E-2</v>
      </c>
      <c r="AS35" s="46"/>
      <c r="AT35" s="46"/>
      <c r="AU35" s="46"/>
      <c r="AV35" s="46"/>
    </row>
    <row r="36" spans="2:48">
      <c r="B36" s="42" t="s">
        <v>150</v>
      </c>
      <c r="C36" s="10" t="s">
        <v>162</v>
      </c>
      <c r="D36" s="47">
        <v>-7.0000000000000001E-3</v>
      </c>
      <c r="E36" s="47">
        <v>0.1</v>
      </c>
      <c r="F36" s="47">
        <v>5.1999999999999998E-2</v>
      </c>
      <c r="G36" s="47">
        <v>0.05</v>
      </c>
      <c r="H36" s="47">
        <v>0.06</v>
      </c>
      <c r="I36" s="47">
        <v>0.122</v>
      </c>
      <c r="J36" s="47">
        <v>6.9000000000000006E-2</v>
      </c>
      <c r="K36" s="47">
        <v>7.9000000000000001E-2</v>
      </c>
      <c r="M36" s="47">
        <v>5.8999999999999997E-2</v>
      </c>
      <c r="N36" s="47">
        <v>-5.8999999999999997E-2</v>
      </c>
      <c r="O36" s="47">
        <v>-7.0000000000000001E-3</v>
      </c>
      <c r="P36" s="47">
        <v>-1.4E-2</v>
      </c>
      <c r="Q36" s="47">
        <v>5.6000000000000001E-2</v>
      </c>
      <c r="R36" s="47">
        <v>0.14599999999999999</v>
      </c>
      <c r="S36" s="47">
        <v>8.8999999999999996E-2</v>
      </c>
      <c r="T36" s="47">
        <v>0.109</v>
      </c>
      <c r="U36" s="47">
        <v>0.189</v>
      </c>
      <c r="V36" s="47">
        <v>9.0999999999999998E-2</v>
      </c>
      <c r="W36" s="47">
        <v>0.06</v>
      </c>
      <c r="X36" s="47">
        <v>4.2000000000000003E-2</v>
      </c>
      <c r="Y36" s="47">
        <v>4.5999999999999999E-2</v>
      </c>
      <c r="Z36" s="47">
        <v>0.08</v>
      </c>
      <c r="AA36" s="47">
        <v>3.7999999999999999E-2</v>
      </c>
      <c r="AB36" s="47">
        <v>0.04</v>
      </c>
      <c r="AC36" s="47">
        <v>1.0999999999999999E-2</v>
      </c>
      <c r="AD36" s="47">
        <v>3.4000000000000002E-2</v>
      </c>
      <c r="AE36" s="47">
        <v>0.112</v>
      </c>
      <c r="AF36" s="47">
        <v>7.1999999999999995E-2</v>
      </c>
      <c r="AG36" s="47">
        <v>0.13300000000000001</v>
      </c>
      <c r="AH36" s="47">
        <v>0.107</v>
      </c>
      <c r="AI36" s="47">
        <v>0.105</v>
      </c>
      <c r="AJ36" s="47">
        <v>0.14099999999999999</v>
      </c>
      <c r="AK36" s="47">
        <v>8.7999999999999995E-2</v>
      </c>
      <c r="AL36" s="47">
        <v>8.8999999999999996E-2</v>
      </c>
      <c r="AM36" s="47">
        <v>5.1999999999999998E-2</v>
      </c>
      <c r="AN36" s="47">
        <v>5.3999999999999999E-2</v>
      </c>
      <c r="AO36" s="47">
        <v>7.4999999999999997E-2</v>
      </c>
      <c r="AP36" s="47">
        <v>7.8E-2</v>
      </c>
      <c r="AQ36" s="47">
        <v>9.0999999999999998E-2</v>
      </c>
      <c r="AR36" s="47">
        <v>7.3999999999999996E-2</v>
      </c>
      <c r="AS36" s="47"/>
      <c r="AT36" s="47"/>
      <c r="AU36" s="47"/>
      <c r="AV36" s="47"/>
    </row>
    <row r="37" spans="2:48">
      <c r="B37" s="43" t="s">
        <v>151</v>
      </c>
      <c r="C37" s="11" t="s">
        <v>162</v>
      </c>
      <c r="D37" s="48">
        <v>6.4000000000000001E-2</v>
      </c>
      <c r="E37" s="48">
        <v>4.8000000000000001E-2</v>
      </c>
      <c r="F37" s="48">
        <v>8.8999999999999996E-2</v>
      </c>
      <c r="G37" s="48">
        <v>8.3000000000000004E-2</v>
      </c>
      <c r="H37" s="48">
        <v>5.8999999999999997E-2</v>
      </c>
      <c r="I37" s="48">
        <v>-4.3999999999999997E-2</v>
      </c>
      <c r="J37" s="48">
        <v>-2.4E-2</v>
      </c>
      <c r="K37" s="48">
        <v>-0.01</v>
      </c>
      <c r="M37" s="48">
        <v>8.1000000000000003E-2</v>
      </c>
      <c r="N37" s="48">
        <v>0.113</v>
      </c>
      <c r="O37" s="48">
        <v>3.9E-2</v>
      </c>
      <c r="P37" s="48">
        <v>4.7E-2</v>
      </c>
      <c r="Q37" s="48">
        <v>5.5E-2</v>
      </c>
      <c r="R37" s="48">
        <v>3.7999999999999999E-2</v>
      </c>
      <c r="S37" s="48">
        <v>8.3000000000000004E-2</v>
      </c>
      <c r="T37" s="48">
        <v>2.1000000000000001E-2</v>
      </c>
      <c r="U37" s="48">
        <v>5.3999999999999999E-2</v>
      </c>
      <c r="V37" s="48">
        <v>3.5000000000000003E-2</v>
      </c>
      <c r="W37" s="48">
        <v>2.9000000000000001E-2</v>
      </c>
      <c r="X37" s="48">
        <v>9.4E-2</v>
      </c>
      <c r="Y37" s="48">
        <v>8.5999999999999993E-2</v>
      </c>
      <c r="Z37" s="48">
        <v>0.1</v>
      </c>
      <c r="AA37" s="48">
        <v>7.5999999999999998E-2</v>
      </c>
      <c r="AB37" s="48">
        <v>7.8E-2</v>
      </c>
      <c r="AC37" s="48">
        <v>0.122</v>
      </c>
      <c r="AD37" s="48">
        <v>0.10199999999999999</v>
      </c>
      <c r="AE37" s="48">
        <v>0.03</v>
      </c>
      <c r="AF37" s="48">
        <v>1.7000000000000001E-2</v>
      </c>
      <c r="AG37" s="48">
        <v>-1.9E-2</v>
      </c>
      <c r="AH37" s="48">
        <v>-5.3999999999999999E-2</v>
      </c>
      <c r="AI37" s="48">
        <v>-0.04</v>
      </c>
      <c r="AJ37" s="48">
        <v>-0.06</v>
      </c>
      <c r="AK37" s="48">
        <v>-3.4000000000000002E-2</v>
      </c>
      <c r="AL37" s="48">
        <v>-2.5999999999999999E-2</v>
      </c>
      <c r="AM37" s="48">
        <v>-1.4999999999999999E-2</v>
      </c>
      <c r="AN37" s="48">
        <v>-2.3E-2</v>
      </c>
      <c r="AO37" s="48">
        <v>-8.9999999999999993E-3</v>
      </c>
      <c r="AP37" s="48">
        <v>-1.4E-2</v>
      </c>
      <c r="AQ37" s="48">
        <v>0.01</v>
      </c>
      <c r="AR37" s="48">
        <v>-2.5000000000000001E-2</v>
      </c>
      <c r="AS37" s="48"/>
      <c r="AT37" s="48"/>
      <c r="AU37" s="48"/>
      <c r="AV37" s="48"/>
    </row>
    <row r="38" spans="2:48">
      <c r="B38" s="20"/>
      <c r="C38" s="11"/>
      <c r="D38" s="11"/>
      <c r="E38" s="11"/>
      <c r="F38" s="11"/>
      <c r="G38" s="11"/>
      <c r="H38" s="11"/>
      <c r="I38" s="11"/>
      <c r="J38" s="11"/>
      <c r="K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2:48">
      <c r="B39" s="18" t="s">
        <v>187</v>
      </c>
      <c r="C39" s="44" t="s">
        <v>162</v>
      </c>
      <c r="D39" s="8"/>
      <c r="E39" s="8"/>
      <c r="F39" s="8"/>
      <c r="G39" s="8"/>
      <c r="H39" s="8"/>
      <c r="I39" s="8"/>
      <c r="J39" s="8"/>
      <c r="K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2:48">
      <c r="B40" s="42" t="s">
        <v>145</v>
      </c>
      <c r="C40" s="10" t="s">
        <v>162</v>
      </c>
      <c r="D40" s="90" t="s">
        <v>186</v>
      </c>
      <c r="E40" s="91">
        <v>0.226223964972456</v>
      </c>
      <c r="F40" s="91">
        <v>1.2162938581371296E-2</v>
      </c>
      <c r="G40" s="91">
        <v>3.8108498611202357E-3</v>
      </c>
      <c r="H40" s="91">
        <v>0.39971394676389371</v>
      </c>
      <c r="I40" s="91">
        <v>0.25272479754590704</v>
      </c>
      <c r="J40" s="91">
        <v>0.29940359401379024</v>
      </c>
      <c r="K40" s="91">
        <v>0.35499999999999998</v>
      </c>
      <c r="L40" s="92"/>
      <c r="M40" s="90" t="s">
        <v>186</v>
      </c>
      <c r="N40" s="90" t="s">
        <v>186</v>
      </c>
      <c r="O40" s="90" t="s">
        <v>186</v>
      </c>
      <c r="P40" s="90" t="s">
        <v>186</v>
      </c>
      <c r="Q40" s="91">
        <v>0.22749647934957573</v>
      </c>
      <c r="R40" s="91">
        <v>0.42202350441406766</v>
      </c>
      <c r="S40" s="91">
        <v>0.16240445885329002</v>
      </c>
      <c r="T40" s="91">
        <v>0.207858479237506</v>
      </c>
      <c r="U40" s="91">
        <v>-3.2031863444036301E-2</v>
      </c>
      <c r="V40" s="91">
        <v>7.7324447910813721E-3</v>
      </c>
      <c r="W40" s="91">
        <v>0.11616165149836211</v>
      </c>
      <c r="X40" s="91">
        <v>-3.1949861110607047E-2</v>
      </c>
      <c r="Y40" s="91">
        <v>-0.1032272460307978</v>
      </c>
      <c r="Z40" s="91">
        <v>-7.1443193061029198E-2</v>
      </c>
      <c r="AA40" s="91">
        <v>-2.3636364728830683E-2</v>
      </c>
      <c r="AB40" s="91">
        <v>0.1555671154381133</v>
      </c>
      <c r="AC40" s="91">
        <v>0.56389960266491346</v>
      </c>
      <c r="AD40" s="91">
        <v>0.46177630602539455</v>
      </c>
      <c r="AE40" s="91">
        <v>0.41380584763155648</v>
      </c>
      <c r="AF40" s="91">
        <v>0.26413739298069272</v>
      </c>
      <c r="AG40" s="91">
        <v>0.17495402499914792</v>
      </c>
      <c r="AH40" s="91">
        <v>0.12013412685453217</v>
      </c>
      <c r="AI40" s="91">
        <v>0.39876008619950731</v>
      </c>
      <c r="AJ40" s="91">
        <v>0.25815699797920844</v>
      </c>
      <c r="AK40" s="91">
        <v>0.29803756964027972</v>
      </c>
      <c r="AL40" s="91">
        <v>0.36043100751728718</v>
      </c>
      <c r="AM40" s="91">
        <v>0.25307352820631634</v>
      </c>
      <c r="AN40" s="91">
        <v>0.30678504057728917</v>
      </c>
      <c r="AO40" s="91">
        <v>0.36399999999999999</v>
      </c>
      <c r="AP40" s="91">
        <v>0.38400000000000001</v>
      </c>
      <c r="AQ40" s="46">
        <v>0.42199999999999999</v>
      </c>
      <c r="AR40" s="46">
        <v>0.27400000000000002</v>
      </c>
      <c r="AS40" s="46"/>
      <c r="AT40" s="46"/>
      <c r="AU40" s="46"/>
      <c r="AV40" s="46"/>
    </row>
    <row r="41" spans="2:48">
      <c r="B41" s="42" t="s">
        <v>150</v>
      </c>
      <c r="C41" s="10" t="s">
        <v>162</v>
      </c>
      <c r="D41" s="93" t="s">
        <v>186</v>
      </c>
      <c r="E41" s="94">
        <v>0.20634307093832849</v>
      </c>
      <c r="F41" s="94">
        <v>-5.2050258108502945E-2</v>
      </c>
      <c r="G41" s="94">
        <v>-3.7080042038173389E-3</v>
      </c>
      <c r="H41" s="94">
        <v>0.16184092384008819</v>
      </c>
      <c r="I41" s="94">
        <v>0.26179314501130779</v>
      </c>
      <c r="J41" s="94">
        <v>0.2779660221329463</v>
      </c>
      <c r="K41" s="94">
        <v>0.32600000000000001</v>
      </c>
      <c r="L41" s="92"/>
      <c r="M41" s="93" t="s">
        <v>186</v>
      </c>
      <c r="N41" s="93" t="s">
        <v>186</v>
      </c>
      <c r="O41" s="93" t="s">
        <v>186</v>
      </c>
      <c r="P41" s="93" t="s">
        <v>186</v>
      </c>
      <c r="Q41" s="94">
        <v>0.16247591080113799</v>
      </c>
      <c r="R41" s="94">
        <v>0.45151143926100046</v>
      </c>
      <c r="S41" s="94">
        <v>0.16894804149102449</v>
      </c>
      <c r="T41" s="94">
        <v>0.15915058004372007</v>
      </c>
      <c r="U41" s="94">
        <v>-0.1450647280643782</v>
      </c>
      <c r="V41" s="94">
        <v>-6.7536808770328638E-2</v>
      </c>
      <c r="W41" s="94">
        <v>2.6384846605276957E-2</v>
      </c>
      <c r="X41" s="94">
        <v>-2.7425256581883106E-2</v>
      </c>
      <c r="Y41" s="94">
        <v>-1.2322138648014236E-2</v>
      </c>
      <c r="Z41" s="94">
        <v>-7.4936888684117076E-2</v>
      </c>
      <c r="AA41" s="94">
        <v>-2.1030398346743251E-2</v>
      </c>
      <c r="AB41" s="94">
        <v>7.6722286720237953E-2</v>
      </c>
      <c r="AC41" s="94">
        <v>0.27896374556769654</v>
      </c>
      <c r="AD41" s="94">
        <v>0.22990640629215342</v>
      </c>
      <c r="AE41" s="94">
        <v>0.16343435833148989</v>
      </c>
      <c r="AF41" s="94">
        <v>2.7679684254258374E-2</v>
      </c>
      <c r="AG41" s="94">
        <v>7.2547132671361814E-2</v>
      </c>
      <c r="AH41" s="94">
        <v>0.13236723781747473</v>
      </c>
      <c r="AI41" s="94">
        <v>0.40941894162353543</v>
      </c>
      <c r="AJ41" s="94">
        <v>0.34984160230396655</v>
      </c>
      <c r="AK41" s="94">
        <v>0.31041251536863523</v>
      </c>
      <c r="AL41" s="94">
        <v>0.31434519703964492</v>
      </c>
      <c r="AM41" s="94">
        <v>0.19696036362397207</v>
      </c>
      <c r="AN41" s="94">
        <v>0.31248365720531734</v>
      </c>
      <c r="AO41" s="94">
        <v>0.36</v>
      </c>
      <c r="AP41" s="94">
        <v>0.40300000000000002</v>
      </c>
      <c r="AQ41" s="47">
        <v>0.29699999999999999</v>
      </c>
      <c r="AR41" s="47">
        <v>0.28100000000000003</v>
      </c>
      <c r="AS41" s="47"/>
      <c r="AT41" s="47"/>
      <c r="AU41" s="47"/>
      <c r="AV41" s="47"/>
    </row>
    <row r="42" spans="2:48">
      <c r="B42" s="43" t="s">
        <v>151</v>
      </c>
      <c r="C42" s="11" t="s">
        <v>162</v>
      </c>
      <c r="D42" s="95" t="s">
        <v>186</v>
      </c>
      <c r="E42" s="96">
        <f>(100%+E40)/(100%+E41)-100%</f>
        <v>1.6480298609137467E-2</v>
      </c>
      <c r="F42" s="96">
        <f t="shared" ref="F42:J42" si="36">(100%+F40)/(100%+F41)-100%</f>
        <v>6.7739030723027671E-2</v>
      </c>
      <c r="G42" s="96">
        <f t="shared" si="36"/>
        <v>7.5468377711183088E-3</v>
      </c>
      <c r="H42" s="96">
        <f t="shared" si="36"/>
        <v>0.2047380308636344</v>
      </c>
      <c r="I42" s="96">
        <f t="shared" si="36"/>
        <v>-7.1868733011063446E-3</v>
      </c>
      <c r="J42" s="96">
        <f t="shared" si="36"/>
        <v>1.6774758882136975E-2</v>
      </c>
      <c r="K42" s="96">
        <v>2.1000000000000001E-2</v>
      </c>
      <c r="L42" s="92"/>
      <c r="M42" s="95" t="s">
        <v>186</v>
      </c>
      <c r="N42" s="95" t="s">
        <v>186</v>
      </c>
      <c r="O42" s="95" t="s">
        <v>186</v>
      </c>
      <c r="P42" s="95" t="s">
        <v>186</v>
      </c>
      <c r="Q42" s="96">
        <f>(100%+Q40)/(100%+Q41)-100%</f>
        <v>5.5932830903676845E-2</v>
      </c>
      <c r="R42" s="96">
        <f t="shared" ref="R42:AN42" si="37">(100%+R40)/(100%+R41)-100%</f>
        <v>-2.0315330661083708E-2</v>
      </c>
      <c r="S42" s="96">
        <f t="shared" si="37"/>
        <v>-5.5978387451575129E-3</v>
      </c>
      <c r="T42" s="96">
        <f t="shared" si="37"/>
        <v>4.2020338023683435E-2</v>
      </c>
      <c r="U42" s="96">
        <f t="shared" si="37"/>
        <v>0.13221219001109774</v>
      </c>
      <c r="V42" s="96">
        <f t="shared" si="37"/>
        <v>8.0720884501778389E-2</v>
      </c>
      <c r="W42" s="96">
        <f t="shared" si="37"/>
        <v>8.7468950062949524E-2</v>
      </c>
      <c r="X42" s="96">
        <f t="shared" si="37"/>
        <v>-4.652192090473406E-3</v>
      </c>
      <c r="Y42" s="96">
        <f t="shared" si="37"/>
        <v>-9.203922750515825E-2</v>
      </c>
      <c r="Z42" s="96">
        <f t="shared" si="37"/>
        <v>3.7767105620698516E-3</v>
      </c>
      <c r="AA42" s="96">
        <f t="shared" si="37"/>
        <v>-2.6619482133934946E-3</v>
      </c>
      <c r="AB42" s="96">
        <f t="shared" si="37"/>
        <v>7.3226708214651604E-2</v>
      </c>
      <c r="AC42" s="96">
        <f t="shared" si="37"/>
        <v>0.22278650046545434</v>
      </c>
      <c r="AD42" s="96">
        <f t="shared" si="37"/>
        <v>0.18852645904355292</v>
      </c>
      <c r="AE42" s="96">
        <f t="shared" si="37"/>
        <v>0.21520035703529561</v>
      </c>
      <c r="AF42" s="96">
        <f t="shared" si="37"/>
        <v>0.2300889200685341</v>
      </c>
      <c r="AG42" s="96">
        <f t="shared" si="37"/>
        <v>9.5480085870654596E-2</v>
      </c>
      <c r="AH42" s="96">
        <f t="shared" si="37"/>
        <v>-1.0803130428358787E-2</v>
      </c>
      <c r="AI42" s="96">
        <f t="shared" si="37"/>
        <v>-7.5625884605680094E-3</v>
      </c>
      <c r="AJ42" s="96">
        <f t="shared" si="37"/>
        <v>-6.7922491178421973E-2</v>
      </c>
      <c r="AK42" s="96">
        <f t="shared" si="37"/>
        <v>-9.4435497091344134E-3</v>
      </c>
      <c r="AL42" s="96">
        <f t="shared" si="37"/>
        <v>3.5063703646076583E-2</v>
      </c>
      <c r="AM42" s="96">
        <f t="shared" si="37"/>
        <v>4.6879718232651912E-2</v>
      </c>
      <c r="AN42" s="96">
        <f t="shared" si="37"/>
        <v>-4.3418572084640283E-3</v>
      </c>
      <c r="AO42" s="96">
        <v>3.0000000000000001E-3</v>
      </c>
      <c r="AP42" s="96">
        <v>-1.3424987029602042E-2</v>
      </c>
      <c r="AQ42" s="48">
        <v>9.7000000000000003E-2</v>
      </c>
      <c r="AR42" s="48">
        <v>-6.0000000000000001E-3</v>
      </c>
      <c r="AS42" s="48"/>
      <c r="AT42" s="48"/>
      <c r="AU42" s="48"/>
      <c r="AV42" s="48"/>
    </row>
    <row r="43" spans="2:48">
      <c r="B43" s="20"/>
      <c r="C43" s="11"/>
      <c r="D43" s="97"/>
      <c r="E43" s="97"/>
      <c r="F43" s="97"/>
      <c r="G43" s="97"/>
      <c r="H43" s="97"/>
      <c r="I43" s="97"/>
      <c r="J43" s="97"/>
      <c r="K43" s="97"/>
      <c r="L43" s="92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11"/>
      <c r="AP43" s="11"/>
      <c r="AQ43" s="11"/>
      <c r="AR43" s="11"/>
      <c r="AS43" s="11"/>
      <c r="AT43" s="11"/>
      <c r="AU43" s="11"/>
      <c r="AV43" s="11"/>
    </row>
    <row r="44" spans="2:48">
      <c r="B44" s="18" t="s">
        <v>188</v>
      </c>
      <c r="C44" s="44" t="s">
        <v>162</v>
      </c>
      <c r="D44" s="98"/>
      <c r="E44" s="98"/>
      <c r="F44" s="98"/>
      <c r="G44" s="98"/>
      <c r="H44" s="98"/>
      <c r="I44" s="98"/>
      <c r="J44" s="98"/>
      <c r="K44" s="98"/>
      <c r="L44" s="92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8"/>
      <c r="AP44" s="8"/>
      <c r="AQ44" s="8"/>
      <c r="AR44" s="8"/>
      <c r="AS44" s="8"/>
      <c r="AT44" s="8"/>
      <c r="AU44" s="8"/>
      <c r="AV44" s="8"/>
    </row>
    <row r="45" spans="2:48">
      <c r="B45" s="42" t="s">
        <v>145</v>
      </c>
      <c r="C45" s="10" t="s">
        <v>162</v>
      </c>
      <c r="D45" s="91">
        <v>5.6000000000000001E-2</v>
      </c>
      <c r="E45" s="91">
        <v>0.14983130956210644</v>
      </c>
      <c r="F45" s="91">
        <v>0.14132090516687779</v>
      </c>
      <c r="G45" s="91">
        <v>0.13787259417819242</v>
      </c>
      <c r="H45" s="91">
        <v>0.12203551382727484</v>
      </c>
      <c r="I45" s="91">
        <v>7.3062314804045458E-2</v>
      </c>
      <c r="J45" s="91">
        <v>4.6845991055663339E-2</v>
      </c>
      <c r="K45" s="91">
        <v>7.1999999999999995E-2</v>
      </c>
      <c r="L45" s="92"/>
      <c r="M45" s="91">
        <f t="shared" ref="M45:P47" si="38">M35</f>
        <v>0.14499999999999999</v>
      </c>
      <c r="N45" s="91">
        <f t="shared" si="38"/>
        <v>4.7E-2</v>
      </c>
      <c r="O45" s="91">
        <f t="shared" si="38"/>
        <v>3.2000000000000001E-2</v>
      </c>
      <c r="P45" s="91">
        <f t="shared" si="38"/>
        <v>3.3000000000000002E-2</v>
      </c>
      <c r="Q45" s="91">
        <v>0.11144532932617501</v>
      </c>
      <c r="R45" s="91">
        <v>0.18303323410376637</v>
      </c>
      <c r="S45" s="91">
        <v>0.17432187071884675</v>
      </c>
      <c r="T45" s="91">
        <v>0.13216311718492313</v>
      </c>
      <c r="U45" s="91">
        <v>0.24780921016480573</v>
      </c>
      <c r="V45" s="91">
        <v>0.12009789961624517</v>
      </c>
      <c r="W45" s="91">
        <v>8.3633657555004515E-2</v>
      </c>
      <c r="X45" s="91">
        <v>0.14157078369764853</v>
      </c>
      <c r="Y45" s="91">
        <v>0.13970771642505686</v>
      </c>
      <c r="Z45" s="91">
        <v>0.19070843419503536</v>
      </c>
      <c r="AA45" s="91">
        <v>0.12110652475542083</v>
      </c>
      <c r="AB45" s="91">
        <v>0.11915649210939261</v>
      </c>
      <c r="AC45" s="91">
        <v>0.13255226624599459</v>
      </c>
      <c r="AD45" s="91">
        <v>0.13851006757037676</v>
      </c>
      <c r="AE45" s="91">
        <v>0.14214665675722316</v>
      </c>
      <c r="AF45" s="91">
        <v>9.0006608845110136E-2</v>
      </c>
      <c r="AG45" s="91">
        <v>0.11093652894659889</v>
      </c>
      <c r="AH45" s="91">
        <v>4.791060700350469E-2</v>
      </c>
      <c r="AI45" s="91">
        <v>6.3805277006209415E-2</v>
      </c>
      <c r="AJ45" s="91">
        <v>7.3243551607822477E-2</v>
      </c>
      <c r="AK45" s="91">
        <v>5.3721836138410195E-2</v>
      </c>
      <c r="AL45" s="91">
        <v>6.5046658912207844E-2</v>
      </c>
      <c r="AM45" s="91">
        <v>4.0905303028207607E-2</v>
      </c>
      <c r="AN45" s="91">
        <v>3.4845245489957488E-2</v>
      </c>
      <c r="AO45" s="91">
        <v>7.1999999999999995E-2</v>
      </c>
      <c r="AP45" s="91">
        <v>6.7000000000000004E-2</v>
      </c>
      <c r="AQ45" s="46">
        <v>0.107</v>
      </c>
      <c r="AR45" s="46">
        <v>0.05</v>
      </c>
      <c r="AS45" s="46"/>
      <c r="AT45" s="46"/>
      <c r="AU45" s="46"/>
      <c r="AV45" s="46"/>
    </row>
    <row r="46" spans="2:48">
      <c r="B46" s="42" t="s">
        <v>150</v>
      </c>
      <c r="C46" s="10" t="s">
        <v>162</v>
      </c>
      <c r="D46" s="94">
        <v>-7.0000000000000001E-3</v>
      </c>
      <c r="E46" s="94">
        <v>9.6799657626999824E-2</v>
      </c>
      <c r="F46" s="94">
        <v>8.3572760159005499E-2</v>
      </c>
      <c r="G46" s="94">
        <v>4.9126282676413613E-2</v>
      </c>
      <c r="H46" s="94">
        <v>6.0994860081357016E-2</v>
      </c>
      <c r="I46" s="94">
        <v>0.12356138783270931</v>
      </c>
      <c r="J46" s="94">
        <v>7.1885981485791062E-2</v>
      </c>
      <c r="K46" s="94">
        <v>8.5000000000000006E-2</v>
      </c>
      <c r="L46" s="92"/>
      <c r="M46" s="94">
        <f t="shared" si="38"/>
        <v>5.8999999999999997E-2</v>
      </c>
      <c r="N46" s="94">
        <f t="shared" si="38"/>
        <v>-5.8999999999999997E-2</v>
      </c>
      <c r="O46" s="94">
        <f t="shared" si="38"/>
        <v>-7.0000000000000001E-3</v>
      </c>
      <c r="P46" s="94">
        <f t="shared" si="38"/>
        <v>-1.4E-2</v>
      </c>
      <c r="Q46" s="94">
        <v>5.2954046742625493E-2</v>
      </c>
      <c r="R46" s="94">
        <v>0.1402280050017457</v>
      </c>
      <c r="S46" s="94">
        <v>8.4509024225616569E-2</v>
      </c>
      <c r="T46" s="94">
        <v>0.10850636957030635</v>
      </c>
      <c r="U46" s="94">
        <v>0.18125024831653347</v>
      </c>
      <c r="V46" s="94">
        <v>8.4594778111599878E-2</v>
      </c>
      <c r="W46" s="94">
        <v>5.5846286759627439E-2</v>
      </c>
      <c r="X46" s="94">
        <v>3.8998228705426685E-2</v>
      </c>
      <c r="Y46" s="94">
        <v>4.5705311738593934E-2</v>
      </c>
      <c r="Z46" s="94">
        <v>7.8614210739430979E-2</v>
      </c>
      <c r="AA46" s="94">
        <v>3.7659361425175675E-2</v>
      </c>
      <c r="AB46" s="94">
        <v>4.0779999180607707E-2</v>
      </c>
      <c r="AC46" s="94">
        <v>1.340175840943103E-2</v>
      </c>
      <c r="AD46" s="94">
        <v>3.572073403067777E-2</v>
      </c>
      <c r="AE46" s="94">
        <v>0.11199688249133333</v>
      </c>
      <c r="AF46" s="94">
        <v>7.1770977908974354E-2</v>
      </c>
      <c r="AG46" s="94">
        <v>0.13255399006552349</v>
      </c>
      <c r="AH46" s="94">
        <v>0.10753790582104372</v>
      </c>
      <c r="AI46" s="94">
        <v>0.10809957856690011</v>
      </c>
      <c r="AJ46" s="94">
        <v>0.14322966388934644</v>
      </c>
      <c r="AK46" s="94">
        <v>9.0692726301937254E-2</v>
      </c>
      <c r="AL46" s="94">
        <v>9.2408869879299527E-2</v>
      </c>
      <c r="AM46" s="94">
        <v>5.4459524793448955E-2</v>
      </c>
      <c r="AN46" s="94">
        <v>5.8684827547594631E-2</v>
      </c>
      <c r="AO46" s="94">
        <v>8.2000000000000003E-2</v>
      </c>
      <c r="AP46" s="94">
        <v>8.5000000000000006E-2</v>
      </c>
      <c r="AQ46" s="47">
        <v>9.6000000000000002E-2</v>
      </c>
      <c r="AR46" s="47">
        <v>7.9000000000000001E-2</v>
      </c>
      <c r="AS46" s="47"/>
      <c r="AT46" s="47"/>
      <c r="AU46" s="47"/>
      <c r="AV46" s="47"/>
    </row>
    <row r="47" spans="2:48">
      <c r="B47" s="43" t="s">
        <v>151</v>
      </c>
      <c r="C47" s="11" t="s">
        <v>162</v>
      </c>
      <c r="D47" s="99">
        <v>6.4000000000000001E-2</v>
      </c>
      <c r="E47" s="99">
        <v>4.8351265945728139E-2</v>
      </c>
      <c r="F47" s="99">
        <v>5.3294201488969017E-2</v>
      </c>
      <c r="G47" s="99">
        <v>8.4590685570643753E-2</v>
      </c>
      <c r="H47" s="99">
        <v>5.7531526346166428E-2</v>
      </c>
      <c r="I47" s="99">
        <v>-4.4945539759134956E-2</v>
      </c>
      <c r="J47" s="99">
        <v>-2.3360684683475963E-2</v>
      </c>
      <c r="K47" s="99">
        <v>1.2E-2</v>
      </c>
      <c r="L47" s="92"/>
      <c r="M47" s="99">
        <f t="shared" si="38"/>
        <v>8.1000000000000003E-2</v>
      </c>
      <c r="N47" s="99">
        <f t="shared" si="38"/>
        <v>0.113</v>
      </c>
      <c r="O47" s="99">
        <f t="shared" si="38"/>
        <v>3.9E-2</v>
      </c>
      <c r="P47" s="99">
        <f t="shared" si="38"/>
        <v>4.7E-2</v>
      </c>
      <c r="Q47" s="99">
        <v>5.554970111420876E-2</v>
      </c>
      <c r="R47" s="99">
        <v>3.7540938228363574E-2</v>
      </c>
      <c r="S47" s="99">
        <v>8.281429152455444E-2</v>
      </c>
      <c r="T47" s="99">
        <v>2.1341102102811371E-2</v>
      </c>
      <c r="U47" s="99">
        <v>5.6346199243665129E-2</v>
      </c>
      <c r="V47" s="99">
        <v>3.273399634696772E-2</v>
      </c>
      <c r="W47" s="99">
        <v>2.6317628942614357E-2</v>
      </c>
      <c r="X47" s="99">
        <v>9.872255039358957E-2</v>
      </c>
      <c r="Y47" s="99">
        <v>8.9893781384904781E-2</v>
      </c>
      <c r="Z47" s="99">
        <v>0.10392429687975224</v>
      </c>
      <c r="AA47" s="99">
        <v>8.0418648385376157E-2</v>
      </c>
      <c r="AB47" s="99">
        <v>7.5305533340849884E-2</v>
      </c>
      <c r="AC47" s="99">
        <v>0.11757479878816701</v>
      </c>
      <c r="AD47" s="99">
        <v>9.9244255871635767E-2</v>
      </c>
      <c r="AE47" s="99">
        <v>2.7113182366430566E-2</v>
      </c>
      <c r="AF47" s="99">
        <v>1.7014484728550494E-2</v>
      </c>
      <c r="AG47" s="99">
        <v>-1.9087355930531791E-2</v>
      </c>
      <c r="AH47" s="99">
        <v>-5.3837704790190344E-2</v>
      </c>
      <c r="AI47" s="99">
        <v>-3.9973213975928346E-2</v>
      </c>
      <c r="AJ47" s="99">
        <v>-6.1217893912432597E-2</v>
      </c>
      <c r="AK47" s="99">
        <v>-3.3896705526660242E-2</v>
      </c>
      <c r="AL47" s="99">
        <v>-2.5047591356627263E-2</v>
      </c>
      <c r="AM47" s="99">
        <v>-1.2854188754088391E-2</v>
      </c>
      <c r="AN47" s="99">
        <v>-2.251811061924891E-2</v>
      </c>
      <c r="AO47" s="96">
        <v>-8.9999999999999993E-3</v>
      </c>
      <c r="AP47" s="96">
        <v>-1.7000000000000001E-2</v>
      </c>
      <c r="AQ47" s="48">
        <v>0.01</v>
      </c>
      <c r="AR47" s="48">
        <v>-2.7E-2</v>
      </c>
      <c r="AS47" s="48"/>
      <c r="AT47" s="48"/>
      <c r="AU47" s="48"/>
      <c r="AV47" s="48"/>
    </row>
    <row r="49" spans="2:3">
      <c r="B49" s="45" t="s">
        <v>156</v>
      </c>
      <c r="C49" s="45"/>
    </row>
    <row r="50" spans="2:3" ht="28.8">
      <c r="B50" s="39" t="s">
        <v>155</v>
      </c>
    </row>
    <row r="51" spans="2:3" ht="86.4">
      <c r="B51" s="39" t="s">
        <v>181</v>
      </c>
    </row>
    <row r="55" spans="2:3">
      <c r="B55" s="1"/>
    </row>
  </sheetData>
  <mergeCells count="2">
    <mergeCell ref="B6:B7"/>
    <mergeCell ref="AV6:AV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Profit or Loss (Q)</vt:lpstr>
      <vt:lpstr>Financial Position</vt:lpstr>
      <vt:lpstr>Cash Flows</vt:lpstr>
      <vt:lpstr>SG&amp;A(Q)</vt:lpstr>
      <vt:lpstr>EBITDA</vt:lpstr>
      <vt:lpstr>DEBT</vt:lpstr>
      <vt:lpstr>Operating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2020-03-19T08:07:46Z</dcterms:modified>
</cp:coreProperties>
</file>